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1125" windowWidth="28830" windowHeight="5115" activeTab="3"/>
  </bookViews>
  <sheets>
    <sheet name="Лист2" sheetId="114" r:id="rId1"/>
    <sheet name="КП2026" sheetId="113" r:id="rId2"/>
    <sheet name="МАРТ" sheetId="118" r:id="rId3"/>
    <sheet name="февраль" sheetId="117" r:id="rId4"/>
    <sheet name="январь" sheetId="115" r:id="rId5"/>
    <sheet name="2025" sheetId="112" r:id="rId6"/>
    <sheet name="ндфл" sheetId="83" r:id="rId7"/>
    <sheet name="2024" sheetId="99" r:id="rId8"/>
    <sheet name="2023" sheetId="73" r:id="rId9"/>
    <sheet name="2022" sheetId="2" r:id="rId10"/>
    <sheet name="КП" sheetId="22" r:id="rId11"/>
    <sheet name="консол бюджет все" sheetId="10" r:id="rId12"/>
    <sheet name="Лист1" sheetId="64" r:id="rId13"/>
    <sheet name="к решению24" sheetId="98" r:id="rId14"/>
    <sheet name="ожидаемое 2025" sheetId="110" r:id="rId15"/>
    <sheet name="Лист3" sheetId="116" r:id="rId16"/>
  </sheets>
  <definedNames>
    <definedName name="APPT" localSheetId="8">'2023'!#REF!</definedName>
    <definedName name="APPT" localSheetId="7">'2024'!#REF!</definedName>
    <definedName name="APPT" localSheetId="5">'2025'!#REF!</definedName>
    <definedName name="APPT" localSheetId="13">'к решению24'!#REF!</definedName>
    <definedName name="APPT" localSheetId="1">КП2026!#REF!</definedName>
    <definedName name="APPT" localSheetId="2">МАРТ!#REF!</definedName>
    <definedName name="APPT" localSheetId="6">ндфл!#REF!</definedName>
    <definedName name="APPT" localSheetId="3">февраль!#REF!</definedName>
    <definedName name="APPT" localSheetId="4">январь!#REF!</definedName>
    <definedName name="FIO" localSheetId="8">'2023'!#REF!</definedName>
    <definedName name="FIO" localSheetId="7">'2024'!#REF!</definedName>
    <definedName name="FIO" localSheetId="5">'2025'!#REF!</definedName>
    <definedName name="FIO" localSheetId="13">'к решению24'!#REF!</definedName>
    <definedName name="FIO" localSheetId="1">КП2026!#REF!</definedName>
    <definedName name="FIO" localSheetId="2">МАРТ!#REF!</definedName>
    <definedName name="FIO" localSheetId="6">ндфл!#REF!</definedName>
    <definedName name="FIO" localSheetId="3">февраль!#REF!</definedName>
    <definedName name="FIO" localSheetId="4">январь!#REF!</definedName>
    <definedName name="LAST_CELL" localSheetId="8">'2023'!#REF!</definedName>
    <definedName name="LAST_CELL" localSheetId="7">'2024'!#REF!</definedName>
    <definedName name="LAST_CELL" localSheetId="5">'2025'!#REF!</definedName>
    <definedName name="LAST_CELL" localSheetId="13">'к решению24'!#REF!</definedName>
    <definedName name="LAST_CELL" localSheetId="1">КП2026!#REF!</definedName>
    <definedName name="LAST_CELL" localSheetId="2">МАРТ!#REF!</definedName>
    <definedName name="LAST_CELL" localSheetId="6">ндфл!#REF!</definedName>
    <definedName name="LAST_CELL" localSheetId="3">февраль!#REF!</definedName>
    <definedName name="LAST_CELL" localSheetId="4">январь!#REF!</definedName>
    <definedName name="SIGN" localSheetId="8">'2023'!#REF!</definedName>
    <definedName name="SIGN" localSheetId="7">'2024'!#REF!</definedName>
    <definedName name="SIGN" localSheetId="5">'2025'!#REF!</definedName>
    <definedName name="SIGN" localSheetId="13">'к решению24'!#REF!</definedName>
    <definedName name="SIGN" localSheetId="1">КП2026!#REF!</definedName>
    <definedName name="SIGN" localSheetId="2">МАРТ!#REF!</definedName>
    <definedName name="SIGN" localSheetId="6">ндфл!#REF!</definedName>
    <definedName name="SIGN" localSheetId="3">февраль!#REF!</definedName>
    <definedName name="SIGN" localSheetId="4">январь!#REF!</definedName>
  </definedNames>
  <calcPr calcId="144525"/>
</workbook>
</file>

<file path=xl/calcChain.xml><?xml version="1.0" encoding="utf-8"?>
<calcChain xmlns="http://schemas.openxmlformats.org/spreadsheetml/2006/main">
  <c r="AA12" i="118" l="1"/>
  <c r="AA11" i="118"/>
  <c r="Z11" i="118"/>
  <c r="Z12" i="118"/>
  <c r="AY7" i="118"/>
  <c r="AL13" i="118"/>
  <c r="AL17" i="118"/>
  <c r="AW24" i="118" l="1"/>
  <c r="AL26" i="118"/>
  <c r="AW26" i="118" s="1"/>
  <c r="AW13" i="118"/>
  <c r="AW11" i="118"/>
  <c r="AW10" i="118"/>
  <c r="AW4" i="118"/>
  <c r="AW5" i="118"/>
  <c r="AX8" i="118"/>
  <c r="AX14" i="118"/>
  <c r="AX16" i="118"/>
  <c r="AX19" i="118"/>
  <c r="AX20" i="118"/>
  <c r="AX21" i="118"/>
  <c r="AX23" i="118"/>
  <c r="AX25" i="118"/>
  <c r="AX27" i="118"/>
  <c r="AX28" i="118"/>
  <c r="AX30" i="118"/>
  <c r="AW6" i="118"/>
  <c r="AW7" i="118"/>
  <c r="AW8" i="118"/>
  <c r="AW9" i="118"/>
  <c r="AW12" i="118"/>
  <c r="AW14" i="118"/>
  <c r="AW16" i="118"/>
  <c r="AW17" i="118"/>
  <c r="AW18" i="118"/>
  <c r="AW19" i="118"/>
  <c r="AW20" i="118"/>
  <c r="AW21" i="118"/>
  <c r="AW22" i="118"/>
  <c r="AW23" i="118"/>
  <c r="AW25" i="118"/>
  <c r="AW27" i="118"/>
  <c r="AW28" i="118"/>
  <c r="AW29" i="118"/>
  <c r="AW30" i="118"/>
  <c r="S32" i="118"/>
  <c r="S120" i="118" s="1"/>
  <c r="S106" i="118"/>
  <c r="S76" i="118"/>
  <c r="S38" i="118"/>
  <c r="S35" i="118"/>
  <c r="S31" i="118"/>
  <c r="S15" i="118"/>
  <c r="AW15" i="118" l="1"/>
  <c r="S34" i="118"/>
  <c r="S33" i="118"/>
  <c r="S5" i="118"/>
  <c r="S6" i="118"/>
  <c r="S7" i="118"/>
  <c r="S8" i="118"/>
  <c r="S9" i="118"/>
  <c r="S10" i="118"/>
  <c r="S11" i="118"/>
  <c r="S12" i="118"/>
  <c r="S13" i="118"/>
  <c r="S14" i="118"/>
  <c r="S16" i="118"/>
  <c r="S17" i="118"/>
  <c r="S18" i="118"/>
  <c r="S19" i="118"/>
  <c r="S20" i="118"/>
  <c r="S21" i="118"/>
  <c r="S22" i="118"/>
  <c r="S23" i="118"/>
  <c r="S24" i="118"/>
  <c r="S25" i="118"/>
  <c r="S26" i="118"/>
  <c r="S27" i="118"/>
  <c r="S28" i="118"/>
  <c r="S29" i="118"/>
  <c r="S30" i="118"/>
  <c r="S36" i="118"/>
  <c r="S37" i="118"/>
  <c r="S39" i="118"/>
  <c r="S40" i="118"/>
  <c r="S41" i="118"/>
  <c r="S42" i="118"/>
  <c r="S43" i="118"/>
  <c r="S44" i="118"/>
  <c r="S45" i="118"/>
  <c r="S46" i="118"/>
  <c r="S47" i="118"/>
  <c r="S48" i="118"/>
  <c r="S49" i="118"/>
  <c r="S50" i="118"/>
  <c r="S51" i="118"/>
  <c r="S52" i="118"/>
  <c r="S53" i="118"/>
  <c r="S54" i="118"/>
  <c r="S55" i="118"/>
  <c r="S56" i="118"/>
  <c r="S57" i="118"/>
  <c r="S58" i="118"/>
  <c r="S59" i="118"/>
  <c r="S60" i="118"/>
  <c r="S61" i="118"/>
  <c r="S62" i="118"/>
  <c r="S63" i="118"/>
  <c r="S64" i="118"/>
  <c r="S65" i="118"/>
  <c r="S66" i="118"/>
  <c r="S67" i="118"/>
  <c r="S68" i="118"/>
  <c r="S69" i="118"/>
  <c r="S70" i="118"/>
  <c r="S71" i="118"/>
  <c r="S72" i="118"/>
  <c r="S73" i="118"/>
  <c r="S74" i="118"/>
  <c r="S75" i="118"/>
  <c r="S77" i="118"/>
  <c r="S78" i="118"/>
  <c r="S79" i="118"/>
  <c r="S80" i="118"/>
  <c r="S81" i="118"/>
  <c r="S82" i="118"/>
  <c r="S83" i="118"/>
  <c r="S84" i="118"/>
  <c r="S85" i="118"/>
  <c r="S86" i="118"/>
  <c r="S87" i="118"/>
  <c r="S88" i="118"/>
  <c r="S89" i="118"/>
  <c r="S90" i="118"/>
  <c r="S91" i="118"/>
  <c r="S92" i="118"/>
  <c r="S93" i="118"/>
  <c r="S94" i="118"/>
  <c r="S95" i="118"/>
  <c r="S96" i="118"/>
  <c r="S97" i="118"/>
  <c r="S98" i="118"/>
  <c r="S99" i="118"/>
  <c r="S100" i="118"/>
  <c r="S101" i="118"/>
  <c r="S102" i="118"/>
  <c r="S103" i="118"/>
  <c r="S104" i="118"/>
  <c r="S105" i="118"/>
  <c r="S107" i="118"/>
  <c r="S108" i="118"/>
  <c r="S109" i="118"/>
  <c r="S110" i="118"/>
  <c r="S111" i="118"/>
  <c r="S112" i="118"/>
  <c r="S113" i="118"/>
  <c r="S114" i="118"/>
  <c r="S115" i="118"/>
  <c r="S116" i="118"/>
  <c r="S117" i="118"/>
  <c r="S118" i="118"/>
  <c r="S119" i="118"/>
  <c r="S4" i="118"/>
  <c r="AV119" i="118"/>
  <c r="W119" i="118" s="1"/>
  <c r="Y119" i="118"/>
  <c r="X119" i="118"/>
  <c r="R119" i="118"/>
  <c r="AV118" i="118"/>
  <c r="W118" i="118" s="1"/>
  <c r="AK118" i="118"/>
  <c r="Y118" i="118"/>
  <c r="U118" i="118"/>
  <c r="R118" i="118"/>
  <c r="AV117" i="118"/>
  <c r="U117" i="118"/>
  <c r="AV116" i="118"/>
  <c r="U116" i="118"/>
  <c r="R116" i="118"/>
  <c r="AV115" i="118"/>
  <c r="U115" i="118"/>
  <c r="R115" i="118"/>
  <c r="AV114" i="118"/>
  <c r="U114" i="118"/>
  <c r="R114" i="118"/>
  <c r="AV113" i="118"/>
  <c r="U113" i="118"/>
  <c r="R113" i="118"/>
  <c r="AV112" i="118"/>
  <c r="U112" i="118"/>
  <c r="R112" i="118"/>
  <c r="AV111" i="118"/>
  <c r="U111" i="118"/>
  <c r="R111" i="118"/>
  <c r="AV110" i="118"/>
  <c r="U110" i="118"/>
  <c r="R110" i="118"/>
  <c r="E110" i="118"/>
  <c r="AV109" i="118"/>
  <c r="AV106" i="118" s="1"/>
  <c r="Y109" i="118"/>
  <c r="R109" i="118"/>
  <c r="AV108" i="118"/>
  <c r="W108" i="118" s="1"/>
  <c r="Y108" i="118"/>
  <c r="R108" i="118"/>
  <c r="H108" i="118"/>
  <c r="AV107" i="118"/>
  <c r="R107" i="118"/>
  <c r="R106" i="118" s="1"/>
  <c r="AY106" i="118"/>
  <c r="AX106" i="118"/>
  <c r="AW106" i="118"/>
  <c r="AU106" i="118"/>
  <c r="AT106" i="118"/>
  <c r="AS106" i="118"/>
  <c r="AR106" i="118"/>
  <c r="AQ106" i="118"/>
  <c r="AP106" i="118"/>
  <c r="AO106" i="118"/>
  <c r="AN106" i="118"/>
  <c r="AM106" i="118"/>
  <c r="AL106" i="118"/>
  <c r="AK106" i="118"/>
  <c r="AJ106" i="118"/>
  <c r="AI106" i="118"/>
  <c r="AH106" i="118"/>
  <c r="AG106" i="118"/>
  <c r="AF106" i="118"/>
  <c r="AE106" i="118"/>
  <c r="AD106" i="118"/>
  <c r="AC106" i="118"/>
  <c r="AB106" i="118"/>
  <c r="AA106" i="118"/>
  <c r="Z106" i="118"/>
  <c r="Y106" i="118"/>
  <c r="X106" i="118"/>
  <c r="V106" i="118"/>
  <c r="U106" i="118"/>
  <c r="T106" i="118"/>
  <c r="Q106" i="118"/>
  <c r="P106" i="118"/>
  <c r="O106" i="118"/>
  <c r="N106" i="118"/>
  <c r="M106" i="118"/>
  <c r="L106" i="118"/>
  <c r="K106" i="118"/>
  <c r="J106" i="118"/>
  <c r="I106" i="118"/>
  <c r="H106" i="118"/>
  <c r="G106" i="118"/>
  <c r="F106" i="118"/>
  <c r="E106" i="118"/>
  <c r="D106" i="118"/>
  <c r="AV105" i="118"/>
  <c r="U105" i="118"/>
  <c r="R105" i="118"/>
  <c r="AV104" i="118"/>
  <c r="U104" i="118"/>
  <c r="R104" i="118"/>
  <c r="E104" i="118"/>
  <c r="AV103" i="118"/>
  <c r="R103" i="118"/>
  <c r="E103" i="118"/>
  <c r="AV102" i="118"/>
  <c r="U102" i="118"/>
  <c r="R102" i="118"/>
  <c r="AV101" i="118"/>
  <c r="U101" i="118"/>
  <c r="AV100" i="118"/>
  <c r="U100" i="118"/>
  <c r="R100" i="118"/>
  <c r="AV99" i="118"/>
  <c r="U99" i="118"/>
  <c r="R99" i="118"/>
  <c r="AV98" i="118"/>
  <c r="U98" i="118"/>
  <c r="R98" i="118"/>
  <c r="E98" i="118"/>
  <c r="AV97" i="118"/>
  <c r="U97" i="118"/>
  <c r="R97" i="118"/>
  <c r="AV96" i="118"/>
  <c r="U96" i="118"/>
  <c r="R96" i="118"/>
  <c r="AV95" i="118"/>
  <c r="U95" i="118"/>
  <c r="R95" i="118"/>
  <c r="AV94" i="118"/>
  <c r="U94" i="118"/>
  <c r="R94" i="118"/>
  <c r="AV93" i="118"/>
  <c r="U93" i="118"/>
  <c r="R93" i="118"/>
  <c r="AV92" i="118"/>
  <c r="U92" i="118"/>
  <c r="R92" i="118"/>
  <c r="AV91" i="118"/>
  <c r="X91" i="118"/>
  <c r="W91" i="118"/>
  <c r="U91" i="118"/>
  <c r="R91" i="118"/>
  <c r="AV90" i="118"/>
  <c r="W90" i="118" s="1"/>
  <c r="Y90" i="118"/>
  <c r="U90" i="118"/>
  <c r="R90" i="118"/>
  <c r="E90" i="118"/>
  <c r="AV89" i="118"/>
  <c r="U89" i="118"/>
  <c r="R89" i="118"/>
  <c r="AV88" i="118"/>
  <c r="U88" i="118"/>
  <c r="R88" i="118"/>
  <c r="AV87" i="118"/>
  <c r="R87" i="118"/>
  <c r="AV86" i="118"/>
  <c r="U86" i="118"/>
  <c r="R86" i="118"/>
  <c r="AV85" i="118"/>
  <c r="X85" i="118"/>
  <c r="W85" i="118"/>
  <c r="U85" i="118"/>
  <c r="R85" i="118"/>
  <c r="AV84" i="118"/>
  <c r="W84" i="118" s="1"/>
  <c r="X84" i="118"/>
  <c r="U84" i="118"/>
  <c r="R84" i="118"/>
  <c r="AV83" i="118"/>
  <c r="Y83" i="118"/>
  <c r="W83" i="118"/>
  <c r="U83" i="118"/>
  <c r="R83" i="118"/>
  <c r="AV82" i="118"/>
  <c r="U82" i="118"/>
  <c r="R82" i="118"/>
  <c r="AV81" i="118"/>
  <c r="W81" i="118" s="1"/>
  <c r="X81" i="118"/>
  <c r="U81" i="118"/>
  <c r="U76" i="118" s="1"/>
  <c r="R81" i="118"/>
  <c r="AV80" i="118"/>
  <c r="W80" i="118" s="1"/>
  <c r="Y80" i="118"/>
  <c r="X80" i="118"/>
  <c r="U80" i="118"/>
  <c r="R80" i="118"/>
  <c r="AV79" i="118"/>
  <c r="Y79" i="118"/>
  <c r="X79" i="118"/>
  <c r="W79" i="118"/>
  <c r="U79" i="118"/>
  <c r="Q79" i="118"/>
  <c r="R79" i="118" s="1"/>
  <c r="I79" i="118"/>
  <c r="AV78" i="118"/>
  <c r="W78" i="118" s="1"/>
  <c r="Y78" i="118"/>
  <c r="Y76" i="118" s="1"/>
  <c r="X78" i="118"/>
  <c r="U78" i="118"/>
  <c r="R78" i="118"/>
  <c r="Q78" i="118"/>
  <c r="I78" i="118"/>
  <c r="AV77" i="118"/>
  <c r="W77" i="118" s="1"/>
  <c r="X77" i="118"/>
  <c r="R77" i="118"/>
  <c r="AY76" i="118"/>
  <c r="AX76" i="118"/>
  <c r="AW76" i="118"/>
  <c r="AV76" i="118"/>
  <c r="AU76" i="118"/>
  <c r="AT76" i="118"/>
  <c r="AS76" i="118"/>
  <c r="AR76" i="118"/>
  <c r="AQ76" i="118"/>
  <c r="AP76" i="118"/>
  <c r="AO76" i="118"/>
  <c r="AN76" i="118"/>
  <c r="AM76" i="118"/>
  <c r="AL76" i="118"/>
  <c r="AK76" i="118"/>
  <c r="AJ76" i="118"/>
  <c r="AI76" i="118"/>
  <c r="AH76" i="118"/>
  <c r="AG76" i="118"/>
  <c r="AF76" i="118"/>
  <c r="AE76" i="118"/>
  <c r="AD76" i="118"/>
  <c r="AC76" i="118"/>
  <c r="AB76" i="118"/>
  <c r="AA76" i="118"/>
  <c r="Z76" i="118"/>
  <c r="X76" i="118"/>
  <c r="V76" i="118"/>
  <c r="T76" i="118"/>
  <c r="P76" i="118"/>
  <c r="O76" i="118"/>
  <c r="N76" i="118"/>
  <c r="M76" i="118"/>
  <c r="L76" i="118"/>
  <c r="K76" i="118"/>
  <c r="J76" i="118"/>
  <c r="I76" i="118"/>
  <c r="H76" i="118"/>
  <c r="G76" i="118"/>
  <c r="F76" i="118"/>
  <c r="E76" i="118"/>
  <c r="D76" i="118"/>
  <c r="AV75" i="118"/>
  <c r="U75" i="118"/>
  <c r="R75" i="118"/>
  <c r="AV74" i="118"/>
  <c r="U74" i="118"/>
  <c r="R74" i="118"/>
  <c r="AV73" i="118"/>
  <c r="U73" i="118"/>
  <c r="R73" i="118"/>
  <c r="AV72" i="118"/>
  <c r="U72" i="118"/>
  <c r="L72" i="118"/>
  <c r="R72" i="118" s="1"/>
  <c r="E72" i="118"/>
  <c r="AV71" i="118"/>
  <c r="U71" i="118"/>
  <c r="R71" i="118"/>
  <c r="AV70" i="118"/>
  <c r="R70" i="118"/>
  <c r="AV69" i="118"/>
  <c r="R69" i="118"/>
  <c r="AV68" i="118"/>
  <c r="U68" i="118"/>
  <c r="R68" i="118"/>
  <c r="AV67" i="118"/>
  <c r="U67" i="118"/>
  <c r="R67" i="118"/>
  <c r="AV66" i="118"/>
  <c r="R66" i="118"/>
  <c r="AV65" i="118"/>
  <c r="U65" i="118"/>
  <c r="R65" i="118"/>
  <c r="AV64" i="118"/>
  <c r="U64" i="118"/>
  <c r="R64" i="118"/>
  <c r="AV63" i="118"/>
  <c r="U63" i="118"/>
  <c r="R63" i="118"/>
  <c r="AV62" i="118"/>
  <c r="U62" i="118"/>
  <c r="Q62" i="118"/>
  <c r="R62" i="118" s="1"/>
  <c r="AV61" i="118"/>
  <c r="R61" i="118"/>
  <c r="AV60" i="118"/>
  <c r="W60" i="118" s="1"/>
  <c r="W38" i="118" s="1"/>
  <c r="Y60" i="118"/>
  <c r="X60" i="118"/>
  <c r="U60" i="118"/>
  <c r="R60" i="118"/>
  <c r="AV59" i="118"/>
  <c r="U59" i="118"/>
  <c r="R59" i="118"/>
  <c r="AV58" i="118"/>
  <c r="U58" i="118"/>
  <c r="R58" i="118"/>
  <c r="AV57" i="118"/>
  <c r="R57" i="118"/>
  <c r="AV56" i="118"/>
  <c r="U56" i="118"/>
  <c r="R56" i="118"/>
  <c r="AV55" i="118"/>
  <c r="U55" i="118"/>
  <c r="R55" i="118"/>
  <c r="AV54" i="118"/>
  <c r="R54" i="118"/>
  <c r="AV53" i="118"/>
  <c r="U53" i="118"/>
  <c r="R53" i="118"/>
  <c r="AV52" i="118"/>
  <c r="R52" i="118"/>
  <c r="AV51" i="118"/>
  <c r="R51" i="118"/>
  <c r="AV50" i="118"/>
  <c r="U50" i="118"/>
  <c r="R50" i="118"/>
  <c r="AV49" i="118"/>
  <c r="U49" i="118"/>
  <c r="R49" i="118"/>
  <c r="AV48" i="118"/>
  <c r="R48" i="118"/>
  <c r="AV47" i="118"/>
  <c r="U47" i="118"/>
  <c r="R47" i="118"/>
  <c r="AV46" i="118"/>
  <c r="U46" i="118"/>
  <c r="R46" i="118"/>
  <c r="AV45" i="118"/>
  <c r="U45" i="118"/>
  <c r="R45" i="118"/>
  <c r="AV44" i="118"/>
  <c r="U44" i="118"/>
  <c r="R44" i="118"/>
  <c r="N44" i="118"/>
  <c r="AV43" i="118"/>
  <c r="U43" i="118"/>
  <c r="R43" i="118"/>
  <c r="AV42" i="118"/>
  <c r="U42" i="118"/>
  <c r="R42" i="118"/>
  <c r="AV41" i="118"/>
  <c r="U41" i="118"/>
  <c r="R41" i="118"/>
  <c r="AV40" i="118"/>
  <c r="U40" i="118"/>
  <c r="R40" i="118"/>
  <c r="AV39" i="118"/>
  <c r="AV38" i="118" s="1"/>
  <c r="U39" i="118"/>
  <c r="R39" i="118"/>
  <c r="AY38" i="118"/>
  <c r="AX38" i="118"/>
  <c r="AX34" i="118" s="1"/>
  <c r="AW38" i="118"/>
  <c r="AU38" i="118"/>
  <c r="AT38" i="118"/>
  <c r="AT34" i="118" s="1"/>
  <c r="AS38" i="118"/>
  <c r="AS34" i="118" s="1"/>
  <c r="AR38" i="118"/>
  <c r="AQ38" i="118"/>
  <c r="AP38" i="118"/>
  <c r="AP34" i="118" s="1"/>
  <c r="AO38" i="118"/>
  <c r="AN38" i="118"/>
  <c r="AM38" i="118"/>
  <c r="AL38" i="118"/>
  <c r="AL34" i="118" s="1"/>
  <c r="AK38" i="118"/>
  <c r="AK34" i="118" s="1"/>
  <c r="AJ38" i="118"/>
  <c r="AI38" i="118"/>
  <c r="AH38" i="118"/>
  <c r="AH34" i="118" s="1"/>
  <c r="AG38" i="118"/>
  <c r="AF38" i="118"/>
  <c r="AE38" i="118"/>
  <c r="AD38" i="118"/>
  <c r="AD34" i="118" s="1"/>
  <c r="AC38" i="118"/>
  <c r="AC34" i="118" s="1"/>
  <c r="AB38" i="118"/>
  <c r="AA38" i="118"/>
  <c r="Z38" i="118"/>
  <c r="Z34" i="118" s="1"/>
  <c r="Y38" i="118"/>
  <c r="X38" i="118"/>
  <c r="V38" i="118"/>
  <c r="V34" i="118" s="1"/>
  <c r="U38" i="118"/>
  <c r="T38" i="118"/>
  <c r="Q38" i="118"/>
  <c r="P38" i="118"/>
  <c r="O38" i="118"/>
  <c r="N38" i="118"/>
  <c r="N34" i="118" s="1"/>
  <c r="M38" i="118"/>
  <c r="M34" i="118" s="1"/>
  <c r="K38" i="118"/>
  <c r="J38" i="118"/>
  <c r="J34" i="118" s="1"/>
  <c r="I38" i="118"/>
  <c r="H38" i="118"/>
  <c r="G38" i="118"/>
  <c r="F38" i="118"/>
  <c r="F34" i="118" s="1"/>
  <c r="E38" i="118"/>
  <c r="E34" i="118" s="1"/>
  <c r="D38" i="118"/>
  <c r="AV37" i="118"/>
  <c r="Y37" i="118"/>
  <c r="Y35" i="118" s="1"/>
  <c r="W37" i="118"/>
  <c r="U37" i="118"/>
  <c r="I37" i="118"/>
  <c r="R37" i="118" s="1"/>
  <c r="AV36" i="118"/>
  <c r="Y36" i="118"/>
  <c r="W36" i="118"/>
  <c r="U36" i="118"/>
  <c r="U35" i="118" s="1"/>
  <c r="I36" i="118"/>
  <c r="R36" i="118" s="1"/>
  <c r="AY35" i="118"/>
  <c r="AX35" i="118"/>
  <c r="AW35" i="118"/>
  <c r="AV35" i="118"/>
  <c r="AU35" i="118"/>
  <c r="AT35" i="118"/>
  <c r="AS35" i="118"/>
  <c r="AR35" i="118"/>
  <c r="AQ35" i="118"/>
  <c r="AP35" i="118"/>
  <c r="AO35" i="118"/>
  <c r="AN35" i="118"/>
  <c r="AM35" i="118"/>
  <c r="AL35" i="118"/>
  <c r="AK35" i="118"/>
  <c r="AJ35" i="118"/>
  <c r="AI35" i="118"/>
  <c r="AH35" i="118"/>
  <c r="AG35" i="118"/>
  <c r="AF35" i="118"/>
  <c r="AE35" i="118"/>
  <c r="AD35" i="118"/>
  <c r="AC35" i="118"/>
  <c r="AB35" i="118"/>
  <c r="AA35" i="118"/>
  <c r="Z35" i="118"/>
  <c r="X35" i="118"/>
  <c r="W35" i="118"/>
  <c r="V35" i="118"/>
  <c r="T35" i="118"/>
  <c r="Q35" i="118"/>
  <c r="P35" i="118"/>
  <c r="O35" i="118"/>
  <c r="N35" i="118"/>
  <c r="M35" i="118"/>
  <c r="L35" i="118"/>
  <c r="K35" i="118"/>
  <c r="J35" i="118"/>
  <c r="H35" i="118"/>
  <c r="G35" i="118"/>
  <c r="F35" i="118"/>
  <c r="E35" i="118"/>
  <c r="D35" i="118"/>
  <c r="AY34" i="118"/>
  <c r="AW34" i="118"/>
  <c r="AU34" i="118"/>
  <c r="AR34" i="118"/>
  <c r="AQ34" i="118"/>
  <c r="AO34" i="118"/>
  <c r="AN34" i="118"/>
  <c r="AM34" i="118"/>
  <c r="AJ34" i="118"/>
  <c r="AI34" i="118"/>
  <c r="AG34" i="118"/>
  <c r="AF34" i="118"/>
  <c r="AE34" i="118"/>
  <c r="AB34" i="118"/>
  <c r="AA34" i="118"/>
  <c r="X34" i="118"/>
  <c r="T34" i="118"/>
  <c r="P34" i="118"/>
  <c r="O34" i="118"/>
  <c r="K34" i="118"/>
  <c r="H34" i="118"/>
  <c r="G34" i="118"/>
  <c r="D34" i="118"/>
  <c r="AY33" i="118"/>
  <c r="AW33" i="118"/>
  <c r="AU33" i="118"/>
  <c r="AU120" i="118" s="1"/>
  <c r="AR33" i="118"/>
  <c r="AQ33" i="118"/>
  <c r="AQ120" i="118" s="1"/>
  <c r="AO33" i="118"/>
  <c r="AN33" i="118"/>
  <c r="AM33" i="118"/>
  <c r="AJ33" i="118"/>
  <c r="AI33" i="118"/>
  <c r="AG33" i="118"/>
  <c r="AG120" i="118" s="1"/>
  <c r="AF33" i="118"/>
  <c r="AE33" i="118"/>
  <c r="AB33" i="118"/>
  <c r="AB120" i="118" s="1"/>
  <c r="AA33" i="118"/>
  <c r="X33" i="118"/>
  <c r="T33" i="118"/>
  <c r="P33" i="118"/>
  <c r="O33" i="118"/>
  <c r="O120" i="118" s="1"/>
  <c r="K33" i="118"/>
  <c r="H33" i="118"/>
  <c r="G33" i="118"/>
  <c r="D33" i="118"/>
  <c r="D120" i="118" s="1"/>
  <c r="AU31" i="118"/>
  <c r="AU32" i="118" s="1"/>
  <c r="AT31" i="118"/>
  <c r="AT32" i="118" s="1"/>
  <c r="AS31" i="118"/>
  <c r="AS32" i="118" s="1"/>
  <c r="AR31" i="118"/>
  <c r="AR32" i="118" s="1"/>
  <c r="AQ31" i="118"/>
  <c r="AQ32" i="118" s="1"/>
  <c r="AP31" i="118"/>
  <c r="AP32" i="118" s="1"/>
  <c r="AO31" i="118"/>
  <c r="AO32" i="118" s="1"/>
  <c r="AN31" i="118"/>
  <c r="AN32" i="118" s="1"/>
  <c r="AM31" i="118"/>
  <c r="AM32" i="118" s="1"/>
  <c r="AL31" i="118"/>
  <c r="AI31" i="118"/>
  <c r="AI32" i="118" s="1"/>
  <c r="AH31" i="118"/>
  <c r="AH32" i="118" s="1"/>
  <c r="AG31" i="118"/>
  <c r="AG32" i="118" s="1"/>
  <c r="AE31" i="118"/>
  <c r="AE32" i="118" s="1"/>
  <c r="AD31" i="118"/>
  <c r="AD32" i="118" s="1"/>
  <c r="AC31" i="118"/>
  <c r="AC32" i="118" s="1"/>
  <c r="AB31" i="118"/>
  <c r="AB32" i="118" s="1"/>
  <c r="AA31" i="118"/>
  <c r="Z31" i="118"/>
  <c r="Y31" i="118"/>
  <c r="Y32" i="118" s="1"/>
  <c r="X31" i="118"/>
  <c r="X32" i="118" s="1"/>
  <c r="T31" i="118"/>
  <c r="T32" i="118" s="1"/>
  <c r="M31" i="118"/>
  <c r="M32" i="118" s="1"/>
  <c r="L31" i="118"/>
  <c r="L32" i="118" s="1"/>
  <c r="H31" i="118"/>
  <c r="G31" i="118"/>
  <c r="E31" i="118"/>
  <c r="E32" i="118" s="1"/>
  <c r="D31" i="118"/>
  <c r="D32" i="118" s="1"/>
  <c r="AY30" i="118"/>
  <c r="AV30" i="118"/>
  <c r="V30" i="118"/>
  <c r="K30" i="118"/>
  <c r="K31" i="118" s="1"/>
  <c r="J30" i="118"/>
  <c r="R30" i="118" s="1"/>
  <c r="AV29" i="118"/>
  <c r="U29" i="118"/>
  <c r="AY28" i="118"/>
  <c r="AV28" i="118"/>
  <c r="V28" i="118"/>
  <c r="U28" i="118"/>
  <c r="Q28" i="118"/>
  <c r="R28" i="118" s="1"/>
  <c r="AV27" i="118"/>
  <c r="AY27" i="118" s="1"/>
  <c r="V27" i="118"/>
  <c r="U27" i="118"/>
  <c r="R27" i="118"/>
  <c r="AV26" i="118"/>
  <c r="AJ26" i="118"/>
  <c r="AJ31" i="118" s="1"/>
  <c r="W26" i="118"/>
  <c r="V26" i="118"/>
  <c r="U26" i="118"/>
  <c r="Q26" i="118"/>
  <c r="P26" i="118"/>
  <c r="O26" i="118"/>
  <c r="K26" i="118"/>
  <c r="I26" i="118"/>
  <c r="F26" i="118"/>
  <c r="R26" i="118" s="1"/>
  <c r="AV25" i="118"/>
  <c r="AY25" i="118" s="1"/>
  <c r="W25" i="118"/>
  <c r="V25" i="118"/>
  <c r="U25" i="118"/>
  <c r="R25" i="118"/>
  <c r="AV24" i="118"/>
  <c r="W24" i="118"/>
  <c r="V24" i="118"/>
  <c r="U24" i="118"/>
  <c r="Q24" i="118"/>
  <c r="P24" i="118"/>
  <c r="P31" i="118" s="1"/>
  <c r="J24" i="118"/>
  <c r="J31" i="118" s="1"/>
  <c r="AV23" i="118"/>
  <c r="AY23" i="118" s="1"/>
  <c r="W23" i="118"/>
  <c r="V23" i="118"/>
  <c r="U23" i="118"/>
  <c r="R23" i="118"/>
  <c r="AV22" i="118"/>
  <c r="AX22" i="118" s="1"/>
  <c r="W22" i="118"/>
  <c r="V22" i="118"/>
  <c r="U22" i="118"/>
  <c r="O22" i="118"/>
  <c r="R22" i="118" s="1"/>
  <c r="AV21" i="118"/>
  <c r="AY21" i="118" s="1"/>
  <c r="W21" i="118"/>
  <c r="V21" i="118"/>
  <c r="U21" i="118"/>
  <c r="R21" i="118"/>
  <c r="Q21" i="118"/>
  <c r="N21" i="118"/>
  <c r="AY20" i="118"/>
  <c r="AV20" i="118"/>
  <c r="W20" i="118"/>
  <c r="V20" i="118"/>
  <c r="U20" i="118"/>
  <c r="R20" i="118"/>
  <c r="AY19" i="118"/>
  <c r="AV19" i="118"/>
  <c r="AF19" i="118"/>
  <c r="V19" i="118" s="1"/>
  <c r="W19" i="118"/>
  <c r="U19" i="118"/>
  <c r="R19" i="118"/>
  <c r="AV18" i="118"/>
  <c r="AX18" i="118" s="1"/>
  <c r="W18" i="118"/>
  <c r="V18" i="118"/>
  <c r="U18" i="118"/>
  <c r="Q18" i="118"/>
  <c r="N18" i="118"/>
  <c r="N31" i="118" s="1"/>
  <c r="N32" i="118" s="1"/>
  <c r="I18" i="118"/>
  <c r="G18" i="118"/>
  <c r="F18" i="118"/>
  <c r="R18" i="118" s="1"/>
  <c r="AK17" i="118"/>
  <c r="AK31" i="118" s="1"/>
  <c r="W17" i="118"/>
  <c r="V17" i="118"/>
  <c r="U17" i="118"/>
  <c r="Q17" i="118"/>
  <c r="Q31" i="118" s="1"/>
  <c r="O17" i="118"/>
  <c r="O31" i="118" s="1"/>
  <c r="O32" i="118" s="1"/>
  <c r="I17" i="118"/>
  <c r="I31" i="118" s="1"/>
  <c r="I32" i="118" s="1"/>
  <c r="H17" i="118"/>
  <c r="F17" i="118"/>
  <c r="F31" i="118" s="1"/>
  <c r="AV16" i="118"/>
  <c r="AF16" i="118"/>
  <c r="V16" i="118" s="1"/>
  <c r="V31" i="118" s="1"/>
  <c r="W16" i="118"/>
  <c r="AY16" i="118" s="1"/>
  <c r="U16" i="118"/>
  <c r="U31" i="118" s="1"/>
  <c r="R16" i="118"/>
  <c r="AU15" i="118"/>
  <c r="AT15" i="118"/>
  <c r="AS15" i="118"/>
  <c r="AR15" i="118"/>
  <c r="AQ15" i="118"/>
  <c r="AP15" i="118"/>
  <c r="AO15" i="118"/>
  <c r="AN15" i="118"/>
  <c r="AM15" i="118"/>
  <c r="AL15" i="118"/>
  <c r="AI15" i="118"/>
  <c r="AH15" i="118"/>
  <c r="AG15" i="118"/>
  <c r="AF15" i="118"/>
  <c r="AE15" i="118"/>
  <c r="AD15" i="118"/>
  <c r="AC15" i="118"/>
  <c r="AB15" i="118"/>
  <c r="AA15" i="118"/>
  <c r="Z15" i="118"/>
  <c r="Y15" i="118"/>
  <c r="X15" i="118"/>
  <c r="T15" i="118"/>
  <c r="N15" i="118"/>
  <c r="M15" i="118"/>
  <c r="E15" i="118"/>
  <c r="D15" i="118"/>
  <c r="AV13" i="118"/>
  <c r="AX13" i="118" s="1"/>
  <c r="AK13" i="118"/>
  <c r="AJ13" i="118"/>
  <c r="W13" i="118"/>
  <c r="V13" i="118"/>
  <c r="U13" i="118"/>
  <c r="Q13" i="118"/>
  <c r="P13" i="118"/>
  <c r="O13" i="118"/>
  <c r="L13" i="118"/>
  <c r="K13" i="118"/>
  <c r="J13" i="118"/>
  <c r="I13" i="118"/>
  <c r="H13" i="118"/>
  <c r="F13" i="118"/>
  <c r="R13" i="118" s="1"/>
  <c r="AV12" i="118"/>
  <c r="AK12" i="118"/>
  <c r="AJ12" i="118"/>
  <c r="W12" i="118"/>
  <c r="V12" i="118"/>
  <c r="U12" i="118"/>
  <c r="Q12" i="118"/>
  <c r="P12" i="118"/>
  <c r="O12" i="118"/>
  <c r="L12" i="118"/>
  <c r="K12" i="118"/>
  <c r="J12" i="118"/>
  <c r="I12" i="118"/>
  <c r="H12" i="118"/>
  <c r="F12" i="118"/>
  <c r="AV11" i="118"/>
  <c r="AX11" i="118" s="1"/>
  <c r="W11" i="118"/>
  <c r="V11" i="118"/>
  <c r="U11" i="118"/>
  <c r="Q11" i="118"/>
  <c r="O11" i="118"/>
  <c r="L11" i="118"/>
  <c r="L15" i="118" s="1"/>
  <c r="J11" i="118"/>
  <c r="I11" i="118"/>
  <c r="R11" i="118" s="1"/>
  <c r="AK10" i="118"/>
  <c r="AV10" i="118" s="1"/>
  <c r="AX10" i="118" s="1"/>
  <c r="AJ10" i="118"/>
  <c r="AJ15" i="118" s="1"/>
  <c r="W10" i="118"/>
  <c r="V10" i="118"/>
  <c r="U10" i="118"/>
  <c r="Q10" i="118"/>
  <c r="P10" i="118"/>
  <c r="O10" i="118"/>
  <c r="K10" i="118"/>
  <c r="J10" i="118"/>
  <c r="I10" i="118"/>
  <c r="I15" i="118" s="1"/>
  <c r="H10" i="118"/>
  <c r="F10" i="118"/>
  <c r="R10" i="118" s="1"/>
  <c r="AV9" i="118"/>
  <c r="AX9" i="118" s="1"/>
  <c r="W9" i="118"/>
  <c r="AY9" i="118" s="1"/>
  <c r="V9" i="118"/>
  <c r="U9" i="118"/>
  <c r="H9" i="118"/>
  <c r="R9" i="118" s="1"/>
  <c r="AY8" i="118"/>
  <c r="AV8" i="118"/>
  <c r="V8" i="118"/>
  <c r="U8" i="118"/>
  <c r="Q8" i="118"/>
  <c r="R8" i="118" s="1"/>
  <c r="O8" i="118"/>
  <c r="K8" i="118"/>
  <c r="AJ7" i="118"/>
  <c r="AV7" i="118" s="1"/>
  <c r="AX7" i="118" s="1"/>
  <c r="W7" i="118"/>
  <c r="V7" i="118"/>
  <c r="U7" i="118"/>
  <c r="R7" i="118"/>
  <c r="Q7" i="118"/>
  <c r="P7" i="118"/>
  <c r="L7" i="118"/>
  <c r="K7" i="118"/>
  <c r="G7" i="118"/>
  <c r="G15" i="118" s="1"/>
  <c r="F7" i="118"/>
  <c r="AV6" i="118"/>
  <c r="AX6" i="118" s="1"/>
  <c r="W6" i="118"/>
  <c r="V6" i="118"/>
  <c r="U6" i="118"/>
  <c r="Q6" i="118"/>
  <c r="P6" i="118"/>
  <c r="O6" i="118"/>
  <c r="L6" i="118"/>
  <c r="K6" i="118"/>
  <c r="J6" i="118"/>
  <c r="I6" i="118"/>
  <c r="H6" i="118"/>
  <c r="H15" i="118" s="1"/>
  <c r="F6" i="118"/>
  <c r="AV5" i="118"/>
  <c r="AX5" i="118" s="1"/>
  <c r="AJ5" i="118"/>
  <c r="W5" i="118"/>
  <c r="V5" i="118"/>
  <c r="U5" i="118"/>
  <c r="Q5" i="118"/>
  <c r="P5" i="118"/>
  <c r="O5" i="118"/>
  <c r="L5" i="118"/>
  <c r="K5" i="118"/>
  <c r="J5" i="118"/>
  <c r="I5" i="118"/>
  <c r="H5" i="118"/>
  <c r="F5" i="118"/>
  <c r="R5" i="118" s="1"/>
  <c r="AK4" i="118"/>
  <c r="AJ4" i="118"/>
  <c r="W4" i="118"/>
  <c r="W15" i="118" s="1"/>
  <c r="V4" i="118"/>
  <c r="U4" i="118"/>
  <c r="U15" i="118" s="1"/>
  <c r="Q4" i="118"/>
  <c r="Q15" i="118" s="1"/>
  <c r="P4" i="118"/>
  <c r="P15" i="118" s="1"/>
  <c r="O4" i="118"/>
  <c r="O15" i="118" s="1"/>
  <c r="L4" i="118"/>
  <c r="K4" i="118"/>
  <c r="K15" i="118" s="1"/>
  <c r="J4" i="118"/>
  <c r="J15" i="118" s="1"/>
  <c r="I4" i="118"/>
  <c r="H4" i="118"/>
  <c r="F4" i="118"/>
  <c r="AA120" i="118" l="1"/>
  <c r="V15" i="118"/>
  <c r="V32" i="118" s="1"/>
  <c r="AA32" i="118"/>
  <c r="Z32" i="118"/>
  <c r="AY29" i="118"/>
  <c r="AX29" i="118"/>
  <c r="AY18" i="118"/>
  <c r="AY26" i="118"/>
  <c r="AX26" i="118"/>
  <c r="AY24" i="118"/>
  <c r="AX24" i="118"/>
  <c r="AY22" i="118"/>
  <c r="AY12" i="118"/>
  <c r="AX12" i="118"/>
  <c r="AY6" i="118"/>
  <c r="AL32" i="118"/>
  <c r="U34" i="118"/>
  <c r="U33" i="118"/>
  <c r="J32" i="118"/>
  <c r="K32" i="118"/>
  <c r="G32" i="118"/>
  <c r="G120" i="118" s="1"/>
  <c r="T120" i="118"/>
  <c r="W76" i="118"/>
  <c r="W33" i="118" s="1"/>
  <c r="W120" i="118" s="1"/>
  <c r="R31" i="118"/>
  <c r="Q32" i="118"/>
  <c r="Y34" i="118"/>
  <c r="Y33" i="118"/>
  <c r="Y120" i="118" s="1"/>
  <c r="P120" i="118"/>
  <c r="AI120" i="118"/>
  <c r="P32" i="118"/>
  <c r="H32" i="118"/>
  <c r="X120" i="118"/>
  <c r="AM120" i="118"/>
  <c r="AJ32" i="118"/>
  <c r="AJ120" i="118" s="1"/>
  <c r="AN120" i="118"/>
  <c r="AO120" i="118"/>
  <c r="AY10" i="118"/>
  <c r="U32" i="118"/>
  <c r="H120" i="118"/>
  <c r="AE120" i="118"/>
  <c r="R35" i="118"/>
  <c r="R38" i="118"/>
  <c r="K120" i="118"/>
  <c r="AR120" i="118"/>
  <c r="R76" i="118"/>
  <c r="AV34" i="118"/>
  <c r="AV33" i="118"/>
  <c r="AV17" i="118"/>
  <c r="AX17" i="118" s="1"/>
  <c r="AW31" i="118"/>
  <c r="AY5" i="118"/>
  <c r="AY11" i="118"/>
  <c r="AY13" i="118"/>
  <c r="R17" i="118"/>
  <c r="F33" i="118"/>
  <c r="N33" i="118"/>
  <c r="N120" i="118" s="1"/>
  <c r="V33" i="118"/>
  <c r="AD33" i="118"/>
  <c r="AD120" i="118" s="1"/>
  <c r="AL33" i="118"/>
  <c r="AT33" i="118"/>
  <c r="AT120" i="118" s="1"/>
  <c r="W109" i="118"/>
  <c r="W106" i="118" s="1"/>
  <c r="W34" i="118" s="1"/>
  <c r="W31" i="118"/>
  <c r="W32" i="118" s="1"/>
  <c r="AF31" i="118"/>
  <c r="AF32" i="118" s="1"/>
  <c r="AF120" i="118" s="1"/>
  <c r="AV4" i="118"/>
  <c r="AX4" i="118" s="1"/>
  <c r="R6" i="118"/>
  <c r="R12" i="118"/>
  <c r="AK15" i="118"/>
  <c r="AK32" i="118" s="1"/>
  <c r="R4" i="118"/>
  <c r="F15" i="118"/>
  <c r="F32" i="118" s="1"/>
  <c r="I35" i="118"/>
  <c r="Q76" i="118"/>
  <c r="R24" i="118"/>
  <c r="J33" i="118"/>
  <c r="J120" i="118" s="1"/>
  <c r="Z33" i="118"/>
  <c r="AH33" i="118"/>
  <c r="AH120" i="118" s="1"/>
  <c r="AP33" i="118"/>
  <c r="AP120" i="118" s="1"/>
  <c r="AX33" i="118"/>
  <c r="L38" i="118"/>
  <c r="E33" i="118"/>
  <c r="E120" i="118" s="1"/>
  <c r="M33" i="118"/>
  <c r="M120" i="118" s="1"/>
  <c r="AC33" i="118"/>
  <c r="AC120" i="118" s="1"/>
  <c r="AK33" i="118"/>
  <c r="AS33" i="118"/>
  <c r="AS120" i="118" s="1"/>
  <c r="W90" i="117"/>
  <c r="W83" i="117"/>
  <c r="W109" i="117"/>
  <c r="W108" i="117"/>
  <c r="Y109" i="117"/>
  <c r="Y108" i="117"/>
  <c r="Y90" i="117"/>
  <c r="Y83" i="117"/>
  <c r="Y79" i="117"/>
  <c r="Y80" i="117"/>
  <c r="Y78" i="117"/>
  <c r="Y60" i="117"/>
  <c r="W118" i="117"/>
  <c r="Y119" i="117"/>
  <c r="Y118" i="117"/>
  <c r="AK118" i="117"/>
  <c r="AK12" i="117"/>
  <c r="AV11" i="117"/>
  <c r="V120" i="118" l="1"/>
  <c r="Z120" i="118"/>
  <c r="AX15" i="118"/>
  <c r="AL120" i="118"/>
  <c r="AK120" i="118"/>
  <c r="Q34" i="118"/>
  <c r="Q33" i="118"/>
  <c r="Q120" i="118" s="1"/>
  <c r="AV15" i="118"/>
  <c r="AY4" i="118"/>
  <c r="AY15" i="118" s="1"/>
  <c r="AW32" i="118"/>
  <c r="AW120" i="118" s="1"/>
  <c r="F120" i="118"/>
  <c r="R32" i="118"/>
  <c r="L34" i="118"/>
  <c r="L33" i="118"/>
  <c r="L120" i="118" s="1"/>
  <c r="I34" i="118"/>
  <c r="I33" i="118"/>
  <c r="I120" i="118" s="1"/>
  <c r="R15" i="118"/>
  <c r="AV31" i="118"/>
  <c r="AY17" i="118"/>
  <c r="AY31" i="118" s="1"/>
  <c r="AX31" i="118"/>
  <c r="U120" i="118"/>
  <c r="R34" i="118"/>
  <c r="R33" i="118"/>
  <c r="R120" i="118" s="1"/>
  <c r="AK13" i="117"/>
  <c r="AK10" i="117"/>
  <c r="AK4" i="117"/>
  <c r="AK17" i="117"/>
  <c r="AX32" i="118" l="1"/>
  <c r="AX120" i="118" s="1"/>
  <c r="AY32" i="118"/>
  <c r="AY120" i="118" s="1"/>
  <c r="AV32" i="118"/>
  <c r="AV120" i="118" s="1"/>
  <c r="Y37" i="117"/>
  <c r="Y36" i="117"/>
  <c r="L9" i="116" l="1"/>
  <c r="L8" i="116"/>
  <c r="L5" i="116"/>
  <c r="M9" i="116"/>
  <c r="AW10" i="117" l="1"/>
  <c r="AW6" i="117"/>
  <c r="AL31" i="117"/>
  <c r="AM31" i="117"/>
  <c r="AN31" i="117"/>
  <c r="AO31" i="117"/>
  <c r="AP31" i="117"/>
  <c r="AQ31" i="117"/>
  <c r="AR31" i="117"/>
  <c r="AS31" i="117"/>
  <c r="AT31" i="117"/>
  <c r="AU31" i="117"/>
  <c r="AW5" i="117"/>
  <c r="AW7" i="117"/>
  <c r="AW9" i="117"/>
  <c r="AW11" i="117"/>
  <c r="AW12" i="117"/>
  <c r="AW13" i="117"/>
  <c r="AW8" i="117"/>
  <c r="AW16" i="117"/>
  <c r="AW17" i="117"/>
  <c r="AW18" i="117"/>
  <c r="AW19" i="117"/>
  <c r="AW20" i="117"/>
  <c r="AW21" i="117"/>
  <c r="AW22" i="117"/>
  <c r="AW23" i="117"/>
  <c r="AW24" i="117"/>
  <c r="AW25" i="117"/>
  <c r="AW26" i="117"/>
  <c r="AW27" i="117"/>
  <c r="AW28" i="117"/>
  <c r="AW29" i="117"/>
  <c r="AW30" i="117"/>
  <c r="AW4" i="117"/>
  <c r="AX106" i="117"/>
  <c r="AX76" i="117"/>
  <c r="AX38" i="117"/>
  <c r="AX35" i="117"/>
  <c r="S9" i="117"/>
  <c r="S11" i="117"/>
  <c r="S8" i="117"/>
  <c r="S16" i="117"/>
  <c r="S19" i="117"/>
  <c r="S20" i="117"/>
  <c r="S21" i="117"/>
  <c r="S22" i="117"/>
  <c r="S23" i="117"/>
  <c r="S24" i="117"/>
  <c r="S25" i="117"/>
  <c r="S27" i="117"/>
  <c r="S28" i="117"/>
  <c r="S29" i="117"/>
  <c r="S30" i="117"/>
  <c r="S36" i="117"/>
  <c r="S37" i="117"/>
  <c r="S39" i="117"/>
  <c r="S40" i="117"/>
  <c r="S41" i="117"/>
  <c r="S42" i="117"/>
  <c r="S43" i="117"/>
  <c r="S44" i="117"/>
  <c r="S45" i="117"/>
  <c r="S46" i="117"/>
  <c r="S47" i="117"/>
  <c r="S48" i="117"/>
  <c r="S49" i="117"/>
  <c r="S50" i="117"/>
  <c r="S51" i="117"/>
  <c r="S52" i="117"/>
  <c r="S53" i="117"/>
  <c r="S54" i="117"/>
  <c r="S55" i="117"/>
  <c r="S56" i="117"/>
  <c r="S57" i="117"/>
  <c r="S58" i="117"/>
  <c r="S59" i="117"/>
  <c r="S60" i="117"/>
  <c r="S61" i="117"/>
  <c r="S62" i="117"/>
  <c r="S63" i="117"/>
  <c r="S64" i="117"/>
  <c r="S65" i="117"/>
  <c r="S66" i="117"/>
  <c r="S67" i="117"/>
  <c r="S68" i="117"/>
  <c r="S69" i="117"/>
  <c r="S70" i="117"/>
  <c r="S71" i="117"/>
  <c r="S72" i="117"/>
  <c r="S73" i="117"/>
  <c r="S74" i="117"/>
  <c r="S75" i="117"/>
  <c r="S77" i="117"/>
  <c r="S78" i="117"/>
  <c r="S79" i="117"/>
  <c r="S80" i="117"/>
  <c r="S81" i="117"/>
  <c r="S82" i="117"/>
  <c r="S83" i="117"/>
  <c r="S84" i="117"/>
  <c r="S85" i="117"/>
  <c r="S86" i="117"/>
  <c r="S87" i="117"/>
  <c r="S88" i="117"/>
  <c r="S89" i="117"/>
  <c r="S90" i="117"/>
  <c r="S91" i="117"/>
  <c r="S92" i="117"/>
  <c r="S93" i="117"/>
  <c r="S94" i="117"/>
  <c r="S95" i="117"/>
  <c r="S96" i="117"/>
  <c r="S97" i="117"/>
  <c r="S98" i="117"/>
  <c r="S99" i="117"/>
  <c r="S100" i="117"/>
  <c r="S101" i="117"/>
  <c r="S102" i="117"/>
  <c r="S103" i="117"/>
  <c r="S104" i="117"/>
  <c r="S105" i="117"/>
  <c r="S107" i="117"/>
  <c r="S108" i="117"/>
  <c r="S109" i="117"/>
  <c r="S110" i="117"/>
  <c r="S111" i="117"/>
  <c r="S112" i="117"/>
  <c r="S113" i="117"/>
  <c r="S114" i="117"/>
  <c r="S115" i="117"/>
  <c r="S116" i="117"/>
  <c r="S117" i="117"/>
  <c r="S118" i="117"/>
  <c r="S119" i="117"/>
  <c r="AV119" i="117"/>
  <c r="W119" i="117" s="1"/>
  <c r="X119" i="117"/>
  <c r="R119" i="117"/>
  <c r="AV118" i="117"/>
  <c r="U118" i="117"/>
  <c r="R118" i="117"/>
  <c r="AV117" i="117"/>
  <c r="U117" i="117"/>
  <c r="AV116" i="117"/>
  <c r="U116" i="117"/>
  <c r="R116" i="117"/>
  <c r="AV115" i="117"/>
  <c r="U115" i="117"/>
  <c r="R115" i="117"/>
  <c r="AV114" i="117"/>
  <c r="U114" i="117"/>
  <c r="R114" i="117"/>
  <c r="AV113" i="117"/>
  <c r="U113" i="117"/>
  <c r="R113" i="117"/>
  <c r="AV112" i="117"/>
  <c r="U112" i="117"/>
  <c r="R112" i="117"/>
  <c r="AV111" i="117"/>
  <c r="U111" i="117"/>
  <c r="R111" i="117"/>
  <c r="AV110" i="117"/>
  <c r="U110" i="117"/>
  <c r="R110" i="117"/>
  <c r="E110" i="117"/>
  <c r="E106" i="117" s="1"/>
  <c r="AV109" i="117"/>
  <c r="R109" i="117"/>
  <c r="AV108" i="117"/>
  <c r="H108" i="117"/>
  <c r="H106" i="117" s="1"/>
  <c r="AV107" i="117"/>
  <c r="R107" i="117"/>
  <c r="AY106" i="117"/>
  <c r="AW106" i="117"/>
  <c r="AU106" i="117"/>
  <c r="AT106" i="117"/>
  <c r="AS106" i="117"/>
  <c r="AR106" i="117"/>
  <c r="AQ106" i="117"/>
  <c r="AP106" i="117"/>
  <c r="AO106" i="117"/>
  <c r="AN106" i="117"/>
  <c r="AM106" i="117"/>
  <c r="AL106" i="117"/>
  <c r="AK106" i="117"/>
  <c r="AJ106" i="117"/>
  <c r="AI106" i="117"/>
  <c r="AH106" i="117"/>
  <c r="AG106" i="117"/>
  <c r="AF106" i="117"/>
  <c r="AE106" i="117"/>
  <c r="AD106" i="117"/>
  <c r="AC106" i="117"/>
  <c r="AB106" i="117"/>
  <c r="AA106" i="117"/>
  <c r="Z106" i="117"/>
  <c r="Y106" i="117"/>
  <c r="X106" i="117"/>
  <c r="W106" i="117"/>
  <c r="V106" i="117"/>
  <c r="T106" i="117"/>
  <c r="Q106" i="117"/>
  <c r="P106" i="117"/>
  <c r="O106" i="117"/>
  <c r="N106" i="117"/>
  <c r="M106" i="117"/>
  <c r="L106" i="117"/>
  <c r="K106" i="117"/>
  <c r="J106" i="117"/>
  <c r="I106" i="117"/>
  <c r="G106" i="117"/>
  <c r="F106" i="117"/>
  <c r="D106" i="117"/>
  <c r="AV105" i="117"/>
  <c r="U105" i="117"/>
  <c r="R105" i="117"/>
  <c r="AV104" i="117"/>
  <c r="U104" i="117"/>
  <c r="R104" i="117"/>
  <c r="E104" i="117"/>
  <c r="AV103" i="117"/>
  <c r="R103" i="117"/>
  <c r="E103" i="117"/>
  <c r="AV102" i="117"/>
  <c r="U102" i="117"/>
  <c r="R102" i="117"/>
  <c r="AV101" i="117"/>
  <c r="U101" i="117"/>
  <c r="AV100" i="117"/>
  <c r="U100" i="117"/>
  <c r="R100" i="117"/>
  <c r="AV99" i="117"/>
  <c r="U99" i="117"/>
  <c r="R99" i="117"/>
  <c r="AV98" i="117"/>
  <c r="U98" i="117"/>
  <c r="R98" i="117"/>
  <c r="E98" i="117"/>
  <c r="AV97" i="117"/>
  <c r="U97" i="117"/>
  <c r="R97" i="117"/>
  <c r="AV96" i="117"/>
  <c r="U96" i="117"/>
  <c r="R96" i="117"/>
  <c r="AV95" i="117"/>
  <c r="U95" i="117"/>
  <c r="R95" i="117"/>
  <c r="AV94" i="117"/>
  <c r="U94" i="117"/>
  <c r="R94" i="117"/>
  <c r="AV93" i="117"/>
  <c r="U93" i="117"/>
  <c r="R93" i="117"/>
  <c r="AV92" i="117"/>
  <c r="U92" i="117"/>
  <c r="R92" i="117"/>
  <c r="AV91" i="117"/>
  <c r="W91" i="117" s="1"/>
  <c r="X91" i="117"/>
  <c r="U91" i="117"/>
  <c r="R91" i="117"/>
  <c r="AV90" i="117"/>
  <c r="U90" i="117"/>
  <c r="R90" i="117"/>
  <c r="E90" i="117"/>
  <c r="E76" i="117" s="1"/>
  <c r="AV89" i="117"/>
  <c r="U89" i="117"/>
  <c r="R89" i="117"/>
  <c r="AV88" i="117"/>
  <c r="U88" i="117"/>
  <c r="R88" i="117"/>
  <c r="AV87" i="117"/>
  <c r="R87" i="117"/>
  <c r="AV86" i="117"/>
  <c r="U86" i="117"/>
  <c r="R86" i="117"/>
  <c r="AV85" i="117"/>
  <c r="W85" i="117" s="1"/>
  <c r="X85" i="117"/>
  <c r="U85" i="117"/>
  <c r="R85" i="117"/>
  <c r="AV84" i="117"/>
  <c r="W84" i="117" s="1"/>
  <c r="X84" i="117"/>
  <c r="U84" i="117"/>
  <c r="R84" i="117"/>
  <c r="AV83" i="117"/>
  <c r="U83" i="117"/>
  <c r="R83" i="117"/>
  <c r="AV82" i="117"/>
  <c r="U82" i="117"/>
  <c r="R82" i="117"/>
  <c r="AV81" i="117"/>
  <c r="W81" i="117" s="1"/>
  <c r="X81" i="117"/>
  <c r="U81" i="117"/>
  <c r="R81" i="117"/>
  <c r="AV80" i="117"/>
  <c r="W80" i="117" s="1"/>
  <c r="X80" i="117"/>
  <c r="U80" i="117"/>
  <c r="R80" i="117"/>
  <c r="AV79" i="117"/>
  <c r="W79" i="117" s="1"/>
  <c r="X79" i="117"/>
  <c r="U79" i="117"/>
  <c r="Q79" i="117"/>
  <c r="I79" i="117"/>
  <c r="AV78" i="117"/>
  <c r="W78" i="117" s="1"/>
  <c r="X78" i="117"/>
  <c r="U78" i="117"/>
  <c r="Q78" i="117"/>
  <c r="I78" i="117"/>
  <c r="AV77" i="117"/>
  <c r="W77" i="117" s="1"/>
  <c r="X77" i="117"/>
  <c r="R77" i="117"/>
  <c r="AY76" i="117"/>
  <c r="AW76" i="117"/>
  <c r="AU76" i="117"/>
  <c r="AT76" i="117"/>
  <c r="AS76" i="117"/>
  <c r="AR76" i="117"/>
  <c r="AQ76" i="117"/>
  <c r="AP76" i="117"/>
  <c r="AO76" i="117"/>
  <c r="AN76" i="117"/>
  <c r="AM76" i="117"/>
  <c r="AL76" i="117"/>
  <c r="AK76" i="117"/>
  <c r="AJ76" i="117"/>
  <c r="AI76" i="117"/>
  <c r="AH76" i="117"/>
  <c r="AG76" i="117"/>
  <c r="AF76" i="117"/>
  <c r="AE76" i="117"/>
  <c r="AD76" i="117"/>
  <c r="AC76" i="117"/>
  <c r="AB76" i="117"/>
  <c r="AA76" i="117"/>
  <c r="Z76" i="117"/>
  <c r="Y76" i="117"/>
  <c r="V76" i="117"/>
  <c r="T76" i="117"/>
  <c r="P76" i="117"/>
  <c r="O76" i="117"/>
  <c r="N76" i="117"/>
  <c r="M76" i="117"/>
  <c r="L76" i="117"/>
  <c r="K76" i="117"/>
  <c r="J76" i="117"/>
  <c r="H76" i="117"/>
  <c r="G76" i="117"/>
  <c r="F76" i="117"/>
  <c r="D76" i="117"/>
  <c r="AV75" i="117"/>
  <c r="U75" i="117"/>
  <c r="R75" i="117"/>
  <c r="AV74" i="117"/>
  <c r="U74" i="117"/>
  <c r="R74" i="117"/>
  <c r="AV73" i="117"/>
  <c r="U73" i="117"/>
  <c r="R73" i="117"/>
  <c r="AV72" i="117"/>
  <c r="U72" i="117"/>
  <c r="L72" i="117"/>
  <c r="R72" i="117" s="1"/>
  <c r="E72" i="117"/>
  <c r="E38" i="117" s="1"/>
  <c r="AV71" i="117"/>
  <c r="U71" i="117"/>
  <c r="R71" i="117"/>
  <c r="AV70" i="117"/>
  <c r="R70" i="117"/>
  <c r="AV69" i="117"/>
  <c r="R69" i="117"/>
  <c r="AV68" i="117"/>
  <c r="U68" i="117"/>
  <c r="R68" i="117"/>
  <c r="AV67" i="117"/>
  <c r="U67" i="117"/>
  <c r="R67" i="117"/>
  <c r="AV66" i="117"/>
  <c r="R66" i="117"/>
  <c r="AV65" i="117"/>
  <c r="U65" i="117"/>
  <c r="R65" i="117"/>
  <c r="AV64" i="117"/>
  <c r="U64" i="117"/>
  <c r="R64" i="117"/>
  <c r="AV63" i="117"/>
  <c r="U63" i="117"/>
  <c r="R63" i="117"/>
  <c r="AV62" i="117"/>
  <c r="U62" i="117"/>
  <c r="Q62" i="117"/>
  <c r="Q38" i="117" s="1"/>
  <c r="AV61" i="117"/>
  <c r="R61" i="117"/>
  <c r="AV60" i="117"/>
  <c r="W60" i="117" s="1"/>
  <c r="W38" i="117" s="1"/>
  <c r="X60" i="117"/>
  <c r="X38" i="117" s="1"/>
  <c r="U60" i="117"/>
  <c r="R60" i="117"/>
  <c r="AV59" i="117"/>
  <c r="U59" i="117"/>
  <c r="R59" i="117"/>
  <c r="AV58" i="117"/>
  <c r="U58" i="117"/>
  <c r="R58" i="117"/>
  <c r="AV57" i="117"/>
  <c r="R57" i="117"/>
  <c r="AV56" i="117"/>
  <c r="U56" i="117"/>
  <c r="R56" i="117"/>
  <c r="AV55" i="117"/>
  <c r="U55" i="117"/>
  <c r="R55" i="117"/>
  <c r="AV54" i="117"/>
  <c r="R54" i="117"/>
  <c r="AV53" i="117"/>
  <c r="U53" i="117"/>
  <c r="R53" i="117"/>
  <c r="AV52" i="117"/>
  <c r="R52" i="117"/>
  <c r="AV51" i="117"/>
  <c r="R51" i="117"/>
  <c r="AV50" i="117"/>
  <c r="U50" i="117"/>
  <c r="R50" i="117"/>
  <c r="AV49" i="117"/>
  <c r="U49" i="117"/>
  <c r="R49" i="117"/>
  <c r="AV48" i="117"/>
  <c r="R48" i="117"/>
  <c r="AV47" i="117"/>
  <c r="U47" i="117"/>
  <c r="R47" i="117"/>
  <c r="AV46" i="117"/>
  <c r="U46" i="117"/>
  <c r="R46" i="117"/>
  <c r="AV45" i="117"/>
  <c r="U45" i="117"/>
  <c r="R45" i="117"/>
  <c r="AV44" i="117"/>
  <c r="U44" i="117"/>
  <c r="N44" i="117"/>
  <c r="R44" i="117" s="1"/>
  <c r="AV43" i="117"/>
  <c r="U43" i="117"/>
  <c r="R43" i="117"/>
  <c r="AV42" i="117"/>
  <c r="U42" i="117"/>
  <c r="R42" i="117"/>
  <c r="AV41" i="117"/>
  <c r="U41" i="117"/>
  <c r="R41" i="117"/>
  <c r="AV40" i="117"/>
  <c r="U40" i="117"/>
  <c r="R40" i="117"/>
  <c r="AV39" i="117"/>
  <c r="U39" i="117"/>
  <c r="R39" i="117"/>
  <c r="AY38" i="117"/>
  <c r="AW38" i="117"/>
  <c r="AU38" i="117"/>
  <c r="AT38" i="117"/>
  <c r="AS38" i="117"/>
  <c r="AR38" i="117"/>
  <c r="AQ38" i="117"/>
  <c r="AP38" i="117"/>
  <c r="AO38" i="117"/>
  <c r="AN38" i="117"/>
  <c r="AM38" i="117"/>
  <c r="AL38" i="117"/>
  <c r="AK38" i="117"/>
  <c r="AJ38" i="117"/>
  <c r="AI38" i="117"/>
  <c r="AH38" i="117"/>
  <c r="AG38" i="117"/>
  <c r="AF38" i="117"/>
  <c r="AE38" i="117"/>
  <c r="AD38" i="117"/>
  <c r="AC38" i="117"/>
  <c r="AB38" i="117"/>
  <c r="AA38" i="117"/>
  <c r="Z38" i="117"/>
  <c r="Y38" i="117"/>
  <c r="V38" i="117"/>
  <c r="T38" i="117"/>
  <c r="P38" i="117"/>
  <c r="P34" i="117" s="1"/>
  <c r="O38" i="117"/>
  <c r="N38" i="117"/>
  <c r="M38" i="117"/>
  <c r="K38" i="117"/>
  <c r="J38" i="117"/>
  <c r="I38" i="117"/>
  <c r="H38" i="117"/>
  <c r="G38" i="117"/>
  <c r="F38" i="117"/>
  <c r="D38" i="117"/>
  <c r="AV37" i="117"/>
  <c r="W37" i="117" s="1"/>
  <c r="U37" i="117"/>
  <c r="I37" i="117"/>
  <c r="R37" i="117" s="1"/>
  <c r="AV36" i="117"/>
  <c r="W36" i="117" s="1"/>
  <c r="U36" i="117"/>
  <c r="R36" i="117"/>
  <c r="R35" i="117" s="1"/>
  <c r="I36" i="117"/>
  <c r="AY35" i="117"/>
  <c r="AW35" i="117"/>
  <c r="AU35" i="117"/>
  <c r="AU33" i="117" s="1"/>
  <c r="AT35" i="117"/>
  <c r="AS35" i="117"/>
  <c r="AR35" i="117"/>
  <c r="AQ35" i="117"/>
  <c r="AQ33" i="117" s="1"/>
  <c r="AP35" i="117"/>
  <c r="AO35" i="117"/>
  <c r="AN35" i="117"/>
  <c r="AM35" i="117"/>
  <c r="AM34" i="117" s="1"/>
  <c r="AL35" i="117"/>
  <c r="AK35" i="117"/>
  <c r="AJ35" i="117"/>
  <c r="AI35" i="117"/>
  <c r="AI33" i="117" s="1"/>
  <c r="AH35" i="117"/>
  <c r="AG35" i="117"/>
  <c r="AF35" i="117"/>
  <c r="AE35" i="117"/>
  <c r="AE34" i="117" s="1"/>
  <c r="AD35" i="117"/>
  <c r="AC35" i="117"/>
  <c r="AB35" i="117"/>
  <c r="AA35" i="117"/>
  <c r="AA33" i="117" s="1"/>
  <c r="Z35" i="117"/>
  <c r="Y35" i="117"/>
  <c r="X35" i="117"/>
  <c r="V35" i="117"/>
  <c r="T35" i="117"/>
  <c r="Q35" i="117"/>
  <c r="P35" i="117"/>
  <c r="O35" i="117"/>
  <c r="O33" i="117" s="1"/>
  <c r="N35" i="117"/>
  <c r="M35" i="117"/>
  <c r="L35" i="117"/>
  <c r="K35" i="117"/>
  <c r="J35" i="117"/>
  <c r="I35" i="117"/>
  <c r="H35" i="117"/>
  <c r="G35" i="117"/>
  <c r="G34" i="117" s="1"/>
  <c r="F35" i="117"/>
  <c r="E35" i="117"/>
  <c r="D35" i="117"/>
  <c r="AU34" i="117"/>
  <c r="AE33" i="117"/>
  <c r="AK31" i="117"/>
  <c r="AI31" i="117"/>
  <c r="AH31" i="117"/>
  <c r="AG31" i="117"/>
  <c r="AE31" i="117"/>
  <c r="AD31" i="117"/>
  <c r="AC31" i="117"/>
  <c r="AB31" i="117"/>
  <c r="AA31" i="117"/>
  <c r="Z31" i="117"/>
  <c r="Y31" i="117"/>
  <c r="X31" i="117"/>
  <c r="T31" i="117"/>
  <c r="M31" i="117"/>
  <c r="L31" i="117"/>
  <c r="H31" i="117"/>
  <c r="E31" i="117"/>
  <c r="D31" i="117"/>
  <c r="AV30" i="117"/>
  <c r="AY30" i="117" s="1"/>
  <c r="V30" i="117"/>
  <c r="K30" i="117"/>
  <c r="J30" i="117"/>
  <c r="AV29" i="117"/>
  <c r="AY29" i="117" s="1"/>
  <c r="U29" i="117"/>
  <c r="AV28" i="117"/>
  <c r="AY28" i="117" s="1"/>
  <c r="V28" i="117"/>
  <c r="U28" i="117"/>
  <c r="Q28" i="117"/>
  <c r="R28" i="117" s="1"/>
  <c r="AV27" i="117"/>
  <c r="AY27" i="117" s="1"/>
  <c r="V27" i="117"/>
  <c r="U27" i="117"/>
  <c r="R27" i="117"/>
  <c r="AJ26" i="117"/>
  <c r="AJ31" i="117" s="1"/>
  <c r="W26" i="117"/>
  <c r="V26" i="117"/>
  <c r="U26" i="117"/>
  <c r="Q26" i="117"/>
  <c r="P26" i="117"/>
  <c r="O26" i="117"/>
  <c r="K26" i="117"/>
  <c r="R26" i="117" s="1"/>
  <c r="I26" i="117"/>
  <c r="F26" i="117"/>
  <c r="S26" i="117" s="1"/>
  <c r="AV25" i="117"/>
  <c r="AX25" i="117" s="1"/>
  <c r="W25" i="117"/>
  <c r="V25" i="117"/>
  <c r="U25" i="117"/>
  <c r="R25" i="117"/>
  <c r="AV24" i="117"/>
  <c r="AX24" i="117" s="1"/>
  <c r="W24" i="117"/>
  <c r="V24" i="117"/>
  <c r="U24" i="117"/>
  <c r="Q24" i="117"/>
  <c r="P24" i="117"/>
  <c r="J24" i="117"/>
  <c r="AV23" i="117"/>
  <c r="W23" i="117"/>
  <c r="V23" i="117"/>
  <c r="U23" i="117"/>
  <c r="R23" i="117"/>
  <c r="AV22" i="117"/>
  <c r="W22" i="117"/>
  <c r="V22" i="117"/>
  <c r="U22" i="117"/>
  <c r="O22" i="117"/>
  <c r="R22" i="117" s="1"/>
  <c r="AV21" i="117"/>
  <c r="AX21" i="117" s="1"/>
  <c r="W21" i="117"/>
  <c r="V21" i="117"/>
  <c r="U21" i="117"/>
  <c r="Q21" i="117"/>
  <c r="N21" i="117"/>
  <c r="R21" i="117" s="1"/>
  <c r="AV20" i="117"/>
  <c r="W20" i="117"/>
  <c r="V20" i="117"/>
  <c r="U20" i="117"/>
  <c r="R20" i="117"/>
  <c r="AV19" i="117"/>
  <c r="AF19" i="117"/>
  <c r="V19" i="117" s="1"/>
  <c r="W19" i="117"/>
  <c r="U19" i="117"/>
  <c r="R19" i="117"/>
  <c r="AV18" i="117"/>
  <c r="W18" i="117"/>
  <c r="V18" i="117"/>
  <c r="U18" i="117"/>
  <c r="Q18" i="117"/>
  <c r="N18" i="117"/>
  <c r="N31" i="117" s="1"/>
  <c r="I18" i="117"/>
  <c r="G18" i="117"/>
  <c r="G31" i="117" s="1"/>
  <c r="F18" i="117"/>
  <c r="AV17" i="117"/>
  <c r="W17" i="117"/>
  <c r="V17" i="117"/>
  <c r="U17" i="117"/>
  <c r="Q17" i="117"/>
  <c r="O17" i="117"/>
  <c r="I17" i="117"/>
  <c r="H17" i="117"/>
  <c r="F17" i="117"/>
  <c r="S17" i="117" s="1"/>
  <c r="AV16" i="117"/>
  <c r="AX16" i="117" s="1"/>
  <c r="AF16" i="117"/>
  <c r="V16" i="117" s="1"/>
  <c r="W16" i="117"/>
  <c r="U16" i="117"/>
  <c r="R16" i="117"/>
  <c r="AU15" i="117"/>
  <c r="AT15" i="117"/>
  <c r="AS15" i="117"/>
  <c r="AS32" i="117" s="1"/>
  <c r="AR15" i="117"/>
  <c r="AQ15" i="117"/>
  <c r="AP15" i="117"/>
  <c r="AP32" i="117" s="1"/>
  <c r="AO15" i="117"/>
  <c r="AO32" i="117" s="1"/>
  <c r="AN15" i="117"/>
  <c r="AM15" i="117"/>
  <c r="AL15" i="117"/>
  <c r="AL32" i="117" s="1"/>
  <c r="AI15" i="117"/>
  <c r="AH15" i="117"/>
  <c r="AG15" i="117"/>
  <c r="AF15" i="117"/>
  <c r="AE15" i="117"/>
  <c r="AE32" i="117" s="1"/>
  <c r="AD15" i="117"/>
  <c r="AC15" i="117"/>
  <c r="AB15" i="117"/>
  <c r="AA15" i="117"/>
  <c r="Z15" i="117"/>
  <c r="Y15" i="117"/>
  <c r="X15" i="117"/>
  <c r="T15" i="117"/>
  <c r="N15" i="117"/>
  <c r="M15" i="117"/>
  <c r="E15" i="117"/>
  <c r="D15" i="117"/>
  <c r="AV8" i="117"/>
  <c r="AX8" i="117" s="1"/>
  <c r="V8" i="117"/>
  <c r="U8" i="117"/>
  <c r="Q8" i="117"/>
  <c r="O8" i="117"/>
  <c r="K8" i="117"/>
  <c r="AJ13" i="117"/>
  <c r="AV13" i="117" s="1"/>
  <c r="AY13" i="117" s="1"/>
  <c r="W13" i="117"/>
  <c r="V13" i="117"/>
  <c r="U13" i="117"/>
  <c r="Q13" i="117"/>
  <c r="P13" i="117"/>
  <c r="O13" i="117"/>
  <c r="L13" i="117"/>
  <c r="K13" i="117"/>
  <c r="J13" i="117"/>
  <c r="I13" i="117"/>
  <c r="H13" i="117"/>
  <c r="F13" i="117"/>
  <c r="S13" i="117" s="1"/>
  <c r="AJ12" i="117"/>
  <c r="AV12" i="117" s="1"/>
  <c r="W12" i="117"/>
  <c r="V12" i="117"/>
  <c r="U12" i="117"/>
  <c r="Q12" i="117"/>
  <c r="P12" i="117"/>
  <c r="O12" i="117"/>
  <c r="L12" i="117"/>
  <c r="K12" i="117"/>
  <c r="J12" i="117"/>
  <c r="I12" i="117"/>
  <c r="H12" i="117"/>
  <c r="F12" i="117"/>
  <c r="S12" i="117" s="1"/>
  <c r="AY11" i="117"/>
  <c r="W11" i="117"/>
  <c r="V11" i="117"/>
  <c r="U11" i="117"/>
  <c r="Q11" i="117"/>
  <c r="O11" i="117"/>
  <c r="L11" i="117"/>
  <c r="J11" i="117"/>
  <c r="I11" i="117"/>
  <c r="AJ10" i="117"/>
  <c r="W10" i="117"/>
  <c r="V10" i="117"/>
  <c r="U10" i="117"/>
  <c r="Q10" i="117"/>
  <c r="P10" i="117"/>
  <c r="O10" i="117"/>
  <c r="K10" i="117"/>
  <c r="J10" i="117"/>
  <c r="I10" i="117"/>
  <c r="H10" i="117"/>
  <c r="F10" i="117"/>
  <c r="S10" i="117" s="1"/>
  <c r="AV9" i="117"/>
  <c r="AX9" i="117" s="1"/>
  <c r="W9" i="117"/>
  <c r="V9" i="117"/>
  <c r="U9" i="117"/>
  <c r="H9" i="117"/>
  <c r="R9" i="117" s="1"/>
  <c r="AJ7" i="117"/>
  <c r="W7" i="117"/>
  <c r="V7" i="117"/>
  <c r="U7" i="117"/>
  <c r="Q7" i="117"/>
  <c r="P7" i="117"/>
  <c r="L7" i="117"/>
  <c r="K7" i="117"/>
  <c r="G7" i="117"/>
  <c r="G15" i="117" s="1"/>
  <c r="F7" i="117"/>
  <c r="AV6" i="117"/>
  <c r="AX6" i="117" s="1"/>
  <c r="W6" i="117"/>
  <c r="V6" i="117"/>
  <c r="U6" i="117"/>
  <c r="Q6" i="117"/>
  <c r="P6" i="117"/>
  <c r="O6" i="117"/>
  <c r="L6" i="117"/>
  <c r="K6" i="117"/>
  <c r="J6" i="117"/>
  <c r="I6" i="117"/>
  <c r="H6" i="117"/>
  <c r="F6" i="117"/>
  <c r="S6" i="117" s="1"/>
  <c r="AJ5" i="117"/>
  <c r="W5" i="117"/>
  <c r="V5" i="117"/>
  <c r="U5" i="117"/>
  <c r="Q5" i="117"/>
  <c r="P5" i="117"/>
  <c r="O5" i="117"/>
  <c r="L5" i="117"/>
  <c r="K5" i="117"/>
  <c r="J5" i="117"/>
  <c r="I5" i="117"/>
  <c r="H5" i="117"/>
  <c r="F5" i="117"/>
  <c r="S5" i="117" s="1"/>
  <c r="AJ4" i="117"/>
  <c r="AV4" i="117" s="1"/>
  <c r="AX4" i="117" s="1"/>
  <c r="W4" i="117"/>
  <c r="V4" i="117"/>
  <c r="U4" i="117"/>
  <c r="Q4" i="117"/>
  <c r="P4" i="117"/>
  <c r="O4" i="117"/>
  <c r="O15" i="117" s="1"/>
  <c r="L4" i="117"/>
  <c r="K4" i="117"/>
  <c r="J4" i="117"/>
  <c r="I4" i="117"/>
  <c r="H4" i="117"/>
  <c r="F4" i="117"/>
  <c r="AJ4" i="115"/>
  <c r="AJ5" i="115"/>
  <c r="AJ7" i="115"/>
  <c r="AJ9" i="115"/>
  <c r="AJ11" i="115"/>
  <c r="AJ12" i="115"/>
  <c r="AJ25" i="115"/>
  <c r="O31" i="117" l="1"/>
  <c r="I31" i="117"/>
  <c r="AY20" i="117"/>
  <c r="AY23" i="117"/>
  <c r="AD34" i="117"/>
  <c r="AL34" i="117"/>
  <c r="AT34" i="117"/>
  <c r="J33" i="117"/>
  <c r="X76" i="117"/>
  <c r="I76" i="117"/>
  <c r="K33" i="117"/>
  <c r="V34" i="117"/>
  <c r="U106" i="117"/>
  <c r="AX34" i="117"/>
  <c r="AF34" i="117"/>
  <c r="I15" i="117"/>
  <c r="I32" i="117" s="1"/>
  <c r="R11" i="117"/>
  <c r="Z34" i="117"/>
  <c r="AH34" i="117"/>
  <c r="AP34" i="117"/>
  <c r="S18" i="117"/>
  <c r="S35" i="117"/>
  <c r="R7" i="117"/>
  <c r="R8" i="117"/>
  <c r="AY25" i="117"/>
  <c r="F15" i="117"/>
  <c r="AC32" i="117"/>
  <c r="O34" i="117"/>
  <c r="F34" i="117"/>
  <c r="N34" i="117"/>
  <c r="R78" i="117"/>
  <c r="AV106" i="117"/>
  <c r="S4" i="117"/>
  <c r="S106" i="117"/>
  <c r="U76" i="117"/>
  <c r="AX30" i="117"/>
  <c r="R62" i="117"/>
  <c r="AX33" i="117"/>
  <c r="R12" i="117"/>
  <c r="AY8" i="117"/>
  <c r="W31" i="117"/>
  <c r="U31" i="117"/>
  <c r="R24" i="117"/>
  <c r="J31" i="117"/>
  <c r="AI34" i="117"/>
  <c r="J15" i="117"/>
  <c r="J32" i="117" s="1"/>
  <c r="H15" i="117"/>
  <c r="H32" i="117" s="1"/>
  <c r="H120" i="117" s="1"/>
  <c r="Q31" i="117"/>
  <c r="K15" i="117"/>
  <c r="L15" i="117"/>
  <c r="R5" i="117"/>
  <c r="Y32" i="117"/>
  <c r="AY19" i="117"/>
  <c r="AY22" i="117"/>
  <c r="V33" i="117"/>
  <c r="AQ34" i="117"/>
  <c r="J34" i="117"/>
  <c r="T33" i="117"/>
  <c r="P15" i="117"/>
  <c r="AY17" i="117"/>
  <c r="AV76" i="117"/>
  <c r="R79" i="117"/>
  <c r="AM33" i="117"/>
  <c r="AN34" i="117"/>
  <c r="Q15" i="117"/>
  <c r="R18" i="117"/>
  <c r="AY18" i="117"/>
  <c r="AY21" i="117"/>
  <c r="D32" i="117"/>
  <c r="Z32" i="117"/>
  <c r="AY34" i="117"/>
  <c r="Q76" i="117"/>
  <c r="Q33" i="117" s="1"/>
  <c r="S76" i="117"/>
  <c r="S7" i="117"/>
  <c r="AV38" i="117"/>
  <c r="S38" i="117"/>
  <c r="AX29" i="117"/>
  <c r="AX20" i="117"/>
  <c r="AY12" i="117"/>
  <c r="U35" i="117"/>
  <c r="U38" i="117"/>
  <c r="AX28" i="117"/>
  <c r="AX23" i="117"/>
  <c r="AX19" i="117"/>
  <c r="W15" i="117"/>
  <c r="S31" i="117"/>
  <c r="AX27" i="117"/>
  <c r="AX22" i="117"/>
  <c r="AX11" i="117"/>
  <c r="AY9" i="117"/>
  <c r="O32" i="117"/>
  <c r="E32" i="117"/>
  <c r="N32" i="117"/>
  <c r="M32" i="117"/>
  <c r="AD32" i="117"/>
  <c r="U15" i="117"/>
  <c r="U32" i="117" s="1"/>
  <c r="T32" i="117"/>
  <c r="AT32" i="117"/>
  <c r="AG32" i="117"/>
  <c r="V15" i="117"/>
  <c r="AH32" i="117"/>
  <c r="AR32" i="117"/>
  <c r="W35" i="117"/>
  <c r="AV35" i="117"/>
  <c r="AY24" i="117"/>
  <c r="AV10" i="117"/>
  <c r="AY10" i="117" s="1"/>
  <c r="AK15" i="117"/>
  <c r="AK32" i="117" s="1"/>
  <c r="AX18" i="117"/>
  <c r="AW31" i="117"/>
  <c r="AX17" i="117"/>
  <c r="AX13" i="117"/>
  <c r="AW15" i="117"/>
  <c r="AX12" i="117"/>
  <c r="AY6" i="117"/>
  <c r="AM32" i="117"/>
  <c r="AU32" i="117"/>
  <c r="AU120" i="117" s="1"/>
  <c r="AQ32" i="117"/>
  <c r="AQ120" i="117" s="1"/>
  <c r="AN32" i="117"/>
  <c r="X32" i="117"/>
  <c r="N33" i="117"/>
  <c r="N120" i="117" s="1"/>
  <c r="H33" i="117"/>
  <c r="AL33" i="117"/>
  <c r="AL120" i="117" s="1"/>
  <c r="K34" i="117"/>
  <c r="I33" i="117"/>
  <c r="AC34" i="117"/>
  <c r="AK34" i="117"/>
  <c r="AS34" i="117"/>
  <c r="AP33" i="117"/>
  <c r="AP120" i="117" s="1"/>
  <c r="Z33" i="117"/>
  <c r="F33" i="117"/>
  <c r="AA34" i="117"/>
  <c r="AF33" i="117"/>
  <c r="AN33" i="117"/>
  <c r="AB32" i="117"/>
  <c r="D33" i="117"/>
  <c r="D120" i="117" s="1"/>
  <c r="G32" i="117"/>
  <c r="G33" i="117"/>
  <c r="AD33" i="117"/>
  <c r="AT33" i="117"/>
  <c r="E34" i="117"/>
  <c r="M34" i="117"/>
  <c r="Y33" i="117"/>
  <c r="Y120" i="117" s="1"/>
  <c r="AG33" i="117"/>
  <c r="AO33" i="117"/>
  <c r="AO120" i="117" s="1"/>
  <c r="AW33" i="117"/>
  <c r="X34" i="117"/>
  <c r="H34" i="117"/>
  <c r="AI32" i="117"/>
  <c r="AI120" i="117" s="1"/>
  <c r="AY33" i="117"/>
  <c r="AA32" i="117"/>
  <c r="AA120" i="117" s="1"/>
  <c r="AH33" i="117"/>
  <c r="AH120" i="117" s="1"/>
  <c r="P33" i="117"/>
  <c r="AB33" i="117"/>
  <c r="AJ33" i="117"/>
  <c r="AR33" i="117"/>
  <c r="O120" i="117"/>
  <c r="V31" i="117"/>
  <c r="V32" i="117" s="1"/>
  <c r="V120" i="117" s="1"/>
  <c r="T120" i="117"/>
  <c r="L33" i="117"/>
  <c r="X33" i="117"/>
  <c r="W76" i="117"/>
  <c r="AY4" i="117"/>
  <c r="L32" i="117"/>
  <c r="AE120" i="117"/>
  <c r="R38" i="117"/>
  <c r="AY16" i="117"/>
  <c r="AF31" i="117"/>
  <c r="AF32" i="117" s="1"/>
  <c r="AF120" i="117" s="1"/>
  <c r="R4" i="117"/>
  <c r="AV5" i="117"/>
  <c r="AV7" i="117"/>
  <c r="AJ15" i="117"/>
  <c r="AJ32" i="117" s="1"/>
  <c r="K31" i="117"/>
  <c r="K32" i="117" s="1"/>
  <c r="K120" i="117" s="1"/>
  <c r="E33" i="117"/>
  <c r="M33" i="117"/>
  <c r="AC33" i="117"/>
  <c r="AC120" i="117" s="1"/>
  <c r="AK33" i="117"/>
  <c r="AS33" i="117"/>
  <c r="AS120" i="117" s="1"/>
  <c r="L38" i="117"/>
  <c r="R108" i="117"/>
  <c r="R106" i="117" s="1"/>
  <c r="R6" i="117"/>
  <c r="AV26" i="117"/>
  <c r="AV31" i="117" s="1"/>
  <c r="R30" i="117"/>
  <c r="I34" i="117"/>
  <c r="Y34" i="117"/>
  <c r="AG34" i="117"/>
  <c r="AO34" i="117"/>
  <c r="AW34" i="117"/>
  <c r="R10" i="117"/>
  <c r="R13" i="117"/>
  <c r="R17" i="117"/>
  <c r="R31" i="117" s="1"/>
  <c r="F31" i="117"/>
  <c r="F32" i="117" s="1"/>
  <c r="F120" i="117" s="1"/>
  <c r="P31" i="117"/>
  <c r="D34" i="117"/>
  <c r="L34" i="117"/>
  <c r="T34" i="117"/>
  <c r="AB34" i="117"/>
  <c r="AJ34" i="117"/>
  <c r="AR34" i="117"/>
  <c r="W36" i="115"/>
  <c r="X77" i="115"/>
  <c r="X78" i="115"/>
  <c r="X79" i="115"/>
  <c r="X80" i="115"/>
  <c r="X76" i="115"/>
  <c r="X84" i="115"/>
  <c r="X83" i="115"/>
  <c r="X90" i="115"/>
  <c r="X118" i="115"/>
  <c r="AV34" i="117" l="1"/>
  <c r="R76" i="117"/>
  <c r="J120" i="117"/>
  <c r="AM120" i="117"/>
  <c r="Q34" i="117"/>
  <c r="U33" i="117"/>
  <c r="U34" i="117"/>
  <c r="AN120" i="117"/>
  <c r="Z120" i="117"/>
  <c r="W32" i="117"/>
  <c r="S15" i="117"/>
  <c r="S32" i="117" s="1"/>
  <c r="M120" i="117"/>
  <c r="Q32" i="117"/>
  <c r="Q120" i="117" s="1"/>
  <c r="P32" i="117"/>
  <c r="P120" i="117" s="1"/>
  <c r="AR120" i="117"/>
  <c r="S34" i="117"/>
  <c r="E120" i="117"/>
  <c r="I120" i="117"/>
  <c r="AG120" i="117"/>
  <c r="R34" i="117"/>
  <c r="S33" i="117"/>
  <c r="AT120" i="117"/>
  <c r="AD120" i="117"/>
  <c r="W33" i="117"/>
  <c r="AV33" i="117"/>
  <c r="AK120" i="117"/>
  <c r="AV15" i="117"/>
  <c r="AV32" i="117" s="1"/>
  <c r="AX10" i="117"/>
  <c r="AY26" i="117"/>
  <c r="AY31" i="117" s="1"/>
  <c r="AX26" i="117"/>
  <c r="AX31" i="117" s="1"/>
  <c r="AY7" i="117"/>
  <c r="AX7" i="117"/>
  <c r="AY5" i="117"/>
  <c r="AX5" i="117"/>
  <c r="AW32" i="117"/>
  <c r="AW120" i="117" s="1"/>
  <c r="AJ120" i="117"/>
  <c r="AB120" i="117"/>
  <c r="G120" i="117"/>
  <c r="U120" i="117"/>
  <c r="X120" i="117"/>
  <c r="W34" i="117"/>
  <c r="L120" i="117"/>
  <c r="R33" i="117"/>
  <c r="R15" i="117"/>
  <c r="R32" i="117" s="1"/>
  <c r="X59" i="115"/>
  <c r="W120" i="117" l="1"/>
  <c r="S120" i="117"/>
  <c r="AV120" i="117"/>
  <c r="AX15" i="117"/>
  <c r="AX32" i="117" s="1"/>
  <c r="AX120" i="117" s="1"/>
  <c r="AY15" i="117"/>
  <c r="AY32" i="117" s="1"/>
  <c r="AY120" i="117" s="1"/>
  <c r="R120" i="117"/>
  <c r="S35" i="113"/>
  <c r="K9" i="116" l="1"/>
  <c r="N9" i="116"/>
  <c r="J9" i="116"/>
  <c r="K8" i="116"/>
  <c r="M8" i="116"/>
  <c r="N8" i="116"/>
  <c r="J8" i="116"/>
  <c r="K6" i="116"/>
  <c r="L6" i="116"/>
  <c r="M6" i="116"/>
  <c r="N6" i="116"/>
  <c r="J6" i="116"/>
  <c r="I9" i="116" l="1"/>
  <c r="H9" i="116"/>
  <c r="G9" i="116"/>
  <c r="I6" i="116"/>
  <c r="H6" i="116"/>
  <c r="G6" i="116"/>
  <c r="I2" i="116"/>
  <c r="H2" i="116"/>
  <c r="G2" i="116"/>
  <c r="F2" i="116"/>
  <c r="E2" i="116"/>
  <c r="D2" i="116"/>
  <c r="C2" i="116"/>
  <c r="X14" i="115" l="1"/>
  <c r="Y14" i="115"/>
  <c r="Z14" i="115"/>
  <c r="AA14" i="115"/>
  <c r="AB14" i="115"/>
  <c r="AC14" i="115"/>
  <c r="AD14" i="115"/>
  <c r="AE14" i="115"/>
  <c r="AF14" i="115"/>
  <c r="AG14" i="115"/>
  <c r="AH14" i="115"/>
  <c r="AI14" i="115"/>
  <c r="AJ14" i="115"/>
  <c r="AK14" i="115"/>
  <c r="AL14" i="115"/>
  <c r="AM14" i="115"/>
  <c r="AN14" i="115"/>
  <c r="AO14" i="115"/>
  <c r="AP14" i="115"/>
  <c r="AQ14" i="115"/>
  <c r="AR14" i="115"/>
  <c r="AS14" i="115"/>
  <c r="AT14" i="115"/>
  <c r="AU14" i="115"/>
  <c r="T14" i="115"/>
  <c r="AW5" i="115"/>
  <c r="AW6" i="115"/>
  <c r="AW13" i="115"/>
  <c r="AW7" i="115"/>
  <c r="AW8" i="115"/>
  <c r="AW9" i="115"/>
  <c r="AW10" i="115"/>
  <c r="AW11" i="115"/>
  <c r="AW12" i="115"/>
  <c r="AW15" i="115"/>
  <c r="AW16" i="115"/>
  <c r="AW17" i="115"/>
  <c r="AW18" i="115"/>
  <c r="AW19" i="115"/>
  <c r="AW20" i="115"/>
  <c r="AW21" i="115"/>
  <c r="AW22" i="115"/>
  <c r="AW23" i="115"/>
  <c r="AW24" i="115"/>
  <c r="AW25" i="115"/>
  <c r="AW26" i="115"/>
  <c r="AW27" i="115"/>
  <c r="AW28" i="115"/>
  <c r="AW29" i="115"/>
  <c r="AW4" i="115"/>
  <c r="AV28" i="115"/>
  <c r="AX28" i="115" s="1"/>
  <c r="AV29" i="115"/>
  <c r="AX29" i="115" s="1"/>
  <c r="U28" i="115"/>
  <c r="AW14" i="115" l="1"/>
  <c r="T37" i="115"/>
  <c r="V37" i="115"/>
  <c r="X37" i="115"/>
  <c r="Y37" i="115"/>
  <c r="Z37" i="115"/>
  <c r="AA37" i="115"/>
  <c r="AB37" i="115"/>
  <c r="AC37" i="115"/>
  <c r="AD37" i="115"/>
  <c r="AE37" i="115"/>
  <c r="AF37" i="115"/>
  <c r="AG37" i="115"/>
  <c r="AH37" i="115"/>
  <c r="AI37" i="115"/>
  <c r="AJ37" i="115"/>
  <c r="AK37" i="115"/>
  <c r="AL37" i="115"/>
  <c r="AM37" i="115"/>
  <c r="AN37" i="115"/>
  <c r="AO37" i="115"/>
  <c r="AP37" i="115"/>
  <c r="AQ37" i="115"/>
  <c r="AR37" i="115"/>
  <c r="AS37" i="115"/>
  <c r="AT37" i="115"/>
  <c r="AU37" i="115"/>
  <c r="AW37" i="115"/>
  <c r="AX37" i="115"/>
  <c r="T75" i="115"/>
  <c r="V75" i="115"/>
  <c r="X75" i="115"/>
  <c r="Y75" i="115"/>
  <c r="Z75" i="115"/>
  <c r="AA75" i="115"/>
  <c r="AB75" i="115"/>
  <c r="AC75" i="115"/>
  <c r="AD75" i="115"/>
  <c r="AE75" i="115"/>
  <c r="AF75" i="115"/>
  <c r="AG75" i="115"/>
  <c r="AH75" i="115"/>
  <c r="AI75" i="115"/>
  <c r="AJ75" i="115"/>
  <c r="AK75" i="115"/>
  <c r="AL75" i="115"/>
  <c r="AM75" i="115"/>
  <c r="AN75" i="115"/>
  <c r="AO75" i="115"/>
  <c r="AP75" i="115"/>
  <c r="AQ75" i="115"/>
  <c r="AR75" i="115"/>
  <c r="AS75" i="115"/>
  <c r="AT75" i="115"/>
  <c r="AU75" i="115"/>
  <c r="AW75" i="115"/>
  <c r="AX75" i="115"/>
  <c r="T105" i="115"/>
  <c r="V105" i="115"/>
  <c r="W105" i="115"/>
  <c r="X105" i="115"/>
  <c r="Y105" i="115"/>
  <c r="Z105" i="115"/>
  <c r="AA105" i="115"/>
  <c r="AB105" i="115"/>
  <c r="AC105" i="115"/>
  <c r="AD105" i="115"/>
  <c r="AE105" i="115"/>
  <c r="AF105" i="115"/>
  <c r="AG105" i="115"/>
  <c r="AH105" i="115"/>
  <c r="AI105" i="115"/>
  <c r="AJ105" i="115"/>
  <c r="AK105" i="115"/>
  <c r="AL105" i="115"/>
  <c r="AM105" i="115"/>
  <c r="AN105" i="115"/>
  <c r="AO105" i="115"/>
  <c r="AP105" i="115"/>
  <c r="AQ105" i="115"/>
  <c r="AR105" i="115"/>
  <c r="AS105" i="115"/>
  <c r="AT105" i="115"/>
  <c r="AU105" i="115"/>
  <c r="AW105" i="115"/>
  <c r="AX105" i="115"/>
  <c r="AV68" i="115" l="1"/>
  <c r="S68" i="115"/>
  <c r="R68" i="115"/>
  <c r="U57" i="115" l="1"/>
  <c r="T34" i="115" l="1"/>
  <c r="V34" i="115"/>
  <c r="X34" i="115"/>
  <c r="Y34" i="115"/>
  <c r="Z34" i="115"/>
  <c r="AA34" i="115"/>
  <c r="AB34" i="115"/>
  <c r="AC34" i="115"/>
  <c r="AD34" i="115"/>
  <c r="AE34" i="115"/>
  <c r="AF34" i="115"/>
  <c r="AG34" i="115"/>
  <c r="AH34" i="115"/>
  <c r="AI34" i="115"/>
  <c r="AJ34" i="115"/>
  <c r="AK34" i="115"/>
  <c r="AL34" i="115"/>
  <c r="AM34" i="115"/>
  <c r="AN34" i="115"/>
  <c r="AO34" i="115"/>
  <c r="AP34" i="115"/>
  <c r="AQ34" i="115"/>
  <c r="AR34" i="115"/>
  <c r="AS34" i="115"/>
  <c r="AT34" i="115"/>
  <c r="AU34" i="115"/>
  <c r="AW34" i="115"/>
  <c r="AX34" i="115"/>
  <c r="S35" i="115"/>
  <c r="S36" i="115"/>
  <c r="T30" i="115"/>
  <c r="X30" i="115"/>
  <c r="Y30" i="115"/>
  <c r="Z30" i="115"/>
  <c r="AA30" i="115"/>
  <c r="AB30" i="115"/>
  <c r="AC30" i="115"/>
  <c r="AD30" i="115"/>
  <c r="AE30" i="115"/>
  <c r="AG30" i="115"/>
  <c r="AH30" i="115"/>
  <c r="AI30" i="115"/>
  <c r="AJ30" i="115"/>
  <c r="AK30" i="115"/>
  <c r="AL30" i="115"/>
  <c r="AM30" i="115"/>
  <c r="AM31" i="115" s="1"/>
  <c r="AN30" i="115"/>
  <c r="AN31" i="115" s="1"/>
  <c r="AO30" i="115"/>
  <c r="AO31" i="115" s="1"/>
  <c r="AP30" i="115"/>
  <c r="AP31" i="115" s="1"/>
  <c r="AQ30" i="115"/>
  <c r="AQ31" i="115" s="1"/>
  <c r="AR30" i="115"/>
  <c r="AR31" i="115" s="1"/>
  <c r="AS30" i="115"/>
  <c r="AS31" i="115" s="1"/>
  <c r="AT30" i="115"/>
  <c r="AT31" i="115" s="1"/>
  <c r="AU30" i="115"/>
  <c r="AU31" i="115" s="1"/>
  <c r="AW30" i="115"/>
  <c r="AW31" i="115" s="1"/>
  <c r="U5" i="115"/>
  <c r="U6" i="115"/>
  <c r="U13" i="115"/>
  <c r="U7" i="115"/>
  <c r="U8" i="115"/>
  <c r="U9" i="115"/>
  <c r="U10" i="115"/>
  <c r="U11" i="115"/>
  <c r="U12" i="115"/>
  <c r="U15" i="115"/>
  <c r="U16" i="115"/>
  <c r="U17" i="115"/>
  <c r="U18" i="115"/>
  <c r="U19" i="115"/>
  <c r="U20" i="115"/>
  <c r="U21" i="115"/>
  <c r="U22" i="115"/>
  <c r="U23" i="115"/>
  <c r="U24" i="115"/>
  <c r="U25" i="115"/>
  <c r="U26" i="115"/>
  <c r="U27" i="115"/>
  <c r="U35" i="115"/>
  <c r="U36" i="115"/>
  <c r="U38" i="115"/>
  <c r="U39" i="115"/>
  <c r="U40" i="115"/>
  <c r="U41" i="115"/>
  <c r="U42" i="115"/>
  <c r="U43" i="115"/>
  <c r="U44" i="115"/>
  <c r="U45" i="115"/>
  <c r="U46" i="115"/>
  <c r="U48" i="115"/>
  <c r="U49" i="115"/>
  <c r="U52" i="115"/>
  <c r="U54" i="115"/>
  <c r="U55" i="115"/>
  <c r="U58" i="115"/>
  <c r="U59" i="115"/>
  <c r="U61" i="115"/>
  <c r="U62" i="115"/>
  <c r="U63" i="115"/>
  <c r="U64" i="115"/>
  <c r="U66" i="115"/>
  <c r="U67" i="115"/>
  <c r="U70" i="115"/>
  <c r="U71" i="115"/>
  <c r="U72" i="115"/>
  <c r="U73" i="115"/>
  <c r="U74" i="115"/>
  <c r="U92" i="115"/>
  <c r="U93" i="115"/>
  <c r="U94" i="115"/>
  <c r="U90" i="115"/>
  <c r="U77" i="115"/>
  <c r="U78" i="115"/>
  <c r="U81" i="115"/>
  <c r="U79" i="115"/>
  <c r="U85" i="115"/>
  <c r="U80" i="115"/>
  <c r="U91" i="115"/>
  <c r="U82" i="115"/>
  <c r="U95" i="115"/>
  <c r="U96" i="115"/>
  <c r="U97" i="115"/>
  <c r="U98" i="115"/>
  <c r="U99" i="115"/>
  <c r="U100" i="115"/>
  <c r="U101" i="115"/>
  <c r="U83" i="115"/>
  <c r="U84" i="115"/>
  <c r="U103" i="115"/>
  <c r="U104" i="115"/>
  <c r="U87" i="115"/>
  <c r="U88" i="115"/>
  <c r="U89" i="115"/>
  <c r="U111" i="115"/>
  <c r="U112" i="115"/>
  <c r="U113" i="115"/>
  <c r="U114" i="115"/>
  <c r="U109" i="115"/>
  <c r="U110" i="115"/>
  <c r="U115" i="115"/>
  <c r="U116" i="115"/>
  <c r="U117" i="115"/>
  <c r="U4" i="115"/>
  <c r="AV5" i="115"/>
  <c r="AV6" i="115"/>
  <c r="AV13" i="115"/>
  <c r="AV7" i="115"/>
  <c r="AV8" i="115"/>
  <c r="AV9" i="115"/>
  <c r="AV10" i="115"/>
  <c r="AV11" i="115"/>
  <c r="AV12" i="115"/>
  <c r="AV15" i="115"/>
  <c r="AV16" i="115"/>
  <c r="AV17" i="115"/>
  <c r="AV18" i="115"/>
  <c r="AV19" i="115"/>
  <c r="AV20" i="115"/>
  <c r="AV21" i="115"/>
  <c r="AV22" i="115"/>
  <c r="AV23" i="115"/>
  <c r="AV24" i="115"/>
  <c r="AV25" i="115"/>
  <c r="AV26" i="115"/>
  <c r="AX26" i="115" s="1"/>
  <c r="AV27" i="115"/>
  <c r="AX27" i="115" s="1"/>
  <c r="AV35" i="115"/>
  <c r="W35" i="115" s="1"/>
  <c r="W34" i="115" s="1"/>
  <c r="AV36" i="115"/>
  <c r="AV38" i="115"/>
  <c r="AV39" i="115"/>
  <c r="AV40" i="115"/>
  <c r="AV41" i="115"/>
  <c r="AV42" i="115"/>
  <c r="AV43" i="115"/>
  <c r="AV44" i="115"/>
  <c r="AV45" i="115"/>
  <c r="AV46" i="115"/>
  <c r="AV47" i="115"/>
  <c r="AV48" i="115"/>
  <c r="AV49" i="115"/>
  <c r="AV50" i="115"/>
  <c r="AV51" i="115"/>
  <c r="AV52" i="115"/>
  <c r="AV53" i="115"/>
  <c r="AV54" i="115"/>
  <c r="AV55" i="115"/>
  <c r="AV56" i="115"/>
  <c r="AV57" i="115"/>
  <c r="AV58" i="115"/>
  <c r="AV59" i="115"/>
  <c r="W59" i="115" s="1"/>
  <c r="W37" i="115" s="1"/>
  <c r="AV60" i="115"/>
  <c r="AV61" i="115"/>
  <c r="AV62" i="115"/>
  <c r="AV63" i="115"/>
  <c r="AV64" i="115"/>
  <c r="AV65" i="115"/>
  <c r="AV66" i="115"/>
  <c r="AV67" i="115"/>
  <c r="AV69" i="115"/>
  <c r="AV70" i="115"/>
  <c r="AV71" i="115"/>
  <c r="AV72" i="115"/>
  <c r="AV73" i="115"/>
  <c r="AV74" i="115"/>
  <c r="AV92" i="115"/>
  <c r="AV93" i="115"/>
  <c r="AV94" i="115"/>
  <c r="AV90" i="115"/>
  <c r="W90" i="115" s="1"/>
  <c r="AV77" i="115"/>
  <c r="W77" i="115" s="1"/>
  <c r="AV78" i="115"/>
  <c r="W78" i="115" s="1"/>
  <c r="AV81" i="115"/>
  <c r="AV79" i="115"/>
  <c r="W79" i="115" s="1"/>
  <c r="AV85" i="115"/>
  <c r="AV80" i="115"/>
  <c r="W80" i="115" s="1"/>
  <c r="AV91" i="115"/>
  <c r="AV82" i="115"/>
  <c r="AV95" i="115"/>
  <c r="AV96" i="115"/>
  <c r="AV97" i="115"/>
  <c r="AV98" i="115"/>
  <c r="AV99" i="115"/>
  <c r="AV100" i="115"/>
  <c r="AV101" i="115"/>
  <c r="AV83" i="115"/>
  <c r="W83" i="115" s="1"/>
  <c r="AV84" i="115"/>
  <c r="W84" i="115" s="1"/>
  <c r="AV102" i="115"/>
  <c r="AV103" i="115"/>
  <c r="AV86" i="115"/>
  <c r="AV104" i="115"/>
  <c r="AV87" i="115"/>
  <c r="AV88" i="115"/>
  <c r="AV89" i="115"/>
  <c r="AV76" i="115"/>
  <c r="W76" i="115" s="1"/>
  <c r="AV106" i="115"/>
  <c r="AV111" i="115"/>
  <c r="AV112" i="115"/>
  <c r="AV107" i="115"/>
  <c r="AV108" i="115"/>
  <c r="AV113" i="115"/>
  <c r="AV114" i="115"/>
  <c r="AV109" i="115"/>
  <c r="AV110" i="115"/>
  <c r="AV115" i="115"/>
  <c r="AV116" i="115"/>
  <c r="AV117" i="115"/>
  <c r="AV118" i="115"/>
  <c r="W118" i="115" s="1"/>
  <c r="AV4" i="115"/>
  <c r="S13" i="115"/>
  <c r="S8" i="115"/>
  <c r="S10" i="115"/>
  <c r="S15" i="115"/>
  <c r="S18" i="115"/>
  <c r="S19" i="115"/>
  <c r="S20" i="115"/>
  <c r="S21" i="115"/>
  <c r="S22" i="115"/>
  <c r="S23" i="115"/>
  <c r="S24" i="115"/>
  <c r="S26" i="115"/>
  <c r="S27" i="115"/>
  <c r="S29" i="115"/>
  <c r="S38" i="115"/>
  <c r="S39" i="115"/>
  <c r="S40" i="115"/>
  <c r="S41" i="115"/>
  <c r="S42" i="115"/>
  <c r="S43" i="115"/>
  <c r="S44" i="115"/>
  <c r="S45" i="115"/>
  <c r="S46" i="115"/>
  <c r="S47" i="115"/>
  <c r="S48" i="115"/>
  <c r="S49" i="115"/>
  <c r="S50" i="115"/>
  <c r="S51" i="115"/>
  <c r="S52" i="115"/>
  <c r="S53" i="115"/>
  <c r="S54" i="115"/>
  <c r="S55" i="115"/>
  <c r="S56" i="115"/>
  <c r="S57" i="115"/>
  <c r="S58" i="115"/>
  <c r="S59" i="115"/>
  <c r="S60" i="115"/>
  <c r="S61" i="115"/>
  <c r="S62" i="115"/>
  <c r="S63" i="115"/>
  <c r="S64" i="115"/>
  <c r="S65" i="115"/>
  <c r="S66" i="115"/>
  <c r="S67" i="115"/>
  <c r="S69" i="115"/>
  <c r="S70" i="115"/>
  <c r="S71" i="115"/>
  <c r="S72" i="115"/>
  <c r="S73" i="115"/>
  <c r="S74" i="115"/>
  <c r="S92" i="115"/>
  <c r="S93" i="115"/>
  <c r="S94" i="115"/>
  <c r="S90" i="115"/>
  <c r="S77" i="115"/>
  <c r="S78" i="115"/>
  <c r="S81" i="115"/>
  <c r="S79" i="115"/>
  <c r="S85" i="115"/>
  <c r="S80" i="115"/>
  <c r="S91" i="115"/>
  <c r="S82" i="115"/>
  <c r="S95" i="115"/>
  <c r="S96" i="115"/>
  <c r="S97" i="115"/>
  <c r="S98" i="115"/>
  <c r="S99" i="115"/>
  <c r="S100" i="115"/>
  <c r="S101" i="115"/>
  <c r="S83" i="115"/>
  <c r="S84" i="115"/>
  <c r="S102" i="115"/>
  <c r="S103" i="115"/>
  <c r="S86" i="115"/>
  <c r="S104" i="115"/>
  <c r="S87" i="115"/>
  <c r="S88" i="115"/>
  <c r="S89" i="115"/>
  <c r="S76" i="115"/>
  <c r="S106" i="115"/>
  <c r="S111" i="115"/>
  <c r="S112" i="115"/>
  <c r="S107" i="115"/>
  <c r="S108" i="115"/>
  <c r="S113" i="115"/>
  <c r="S114" i="115"/>
  <c r="S109" i="115"/>
  <c r="S110" i="115"/>
  <c r="S115" i="115"/>
  <c r="S116" i="115"/>
  <c r="S117" i="115"/>
  <c r="S118" i="115"/>
  <c r="W19" i="115"/>
  <c r="W20" i="115"/>
  <c r="W21" i="115"/>
  <c r="W22" i="115"/>
  <c r="V13" i="115"/>
  <c r="V19" i="115"/>
  <c r="V20" i="115"/>
  <c r="V22" i="115"/>
  <c r="V21" i="115"/>
  <c r="V26" i="115"/>
  <c r="V27" i="115"/>
  <c r="V29" i="115"/>
  <c r="W4" i="115"/>
  <c r="V25" i="115"/>
  <c r="W25" i="115"/>
  <c r="V23" i="115"/>
  <c r="W23" i="115"/>
  <c r="V24" i="115"/>
  <c r="W24" i="115"/>
  <c r="V17" i="115"/>
  <c r="W17" i="115"/>
  <c r="V16" i="115"/>
  <c r="W16" i="115"/>
  <c r="AF18" i="115"/>
  <c r="V18" i="115" s="1"/>
  <c r="W18" i="115"/>
  <c r="AF15" i="115"/>
  <c r="W15" i="115"/>
  <c r="V11" i="115"/>
  <c r="W11" i="115"/>
  <c r="V10" i="115"/>
  <c r="W10" i="115"/>
  <c r="V9" i="115"/>
  <c r="W9" i="115"/>
  <c r="V12" i="115"/>
  <c r="W12" i="115"/>
  <c r="V5" i="115"/>
  <c r="W5" i="115"/>
  <c r="V8" i="115"/>
  <c r="W8" i="115"/>
  <c r="V7" i="115"/>
  <c r="W7" i="115"/>
  <c r="V6" i="115"/>
  <c r="W6" i="115"/>
  <c r="R118" i="115"/>
  <c r="R117" i="115"/>
  <c r="R115" i="115"/>
  <c r="R110" i="115"/>
  <c r="R109" i="115"/>
  <c r="E109" i="115"/>
  <c r="E105" i="115" s="1"/>
  <c r="R114" i="115"/>
  <c r="R113" i="115"/>
  <c r="R108" i="115"/>
  <c r="H107" i="115"/>
  <c r="R107" i="115" s="1"/>
  <c r="R112" i="115"/>
  <c r="R111" i="115"/>
  <c r="R106" i="115"/>
  <c r="Q105" i="115"/>
  <c r="P105" i="115"/>
  <c r="O105" i="115"/>
  <c r="N105" i="115"/>
  <c r="M105" i="115"/>
  <c r="L105" i="115"/>
  <c r="K105" i="115"/>
  <c r="J105" i="115"/>
  <c r="I105" i="115"/>
  <c r="G105" i="115"/>
  <c r="F105" i="115"/>
  <c r="D105" i="115"/>
  <c r="R76" i="115"/>
  <c r="R89" i="115"/>
  <c r="E89" i="115"/>
  <c r="R88" i="115"/>
  <c r="R87" i="115"/>
  <c r="R104" i="115"/>
  <c r="R86" i="115"/>
  <c r="R103" i="115"/>
  <c r="E103" i="115"/>
  <c r="R102" i="115"/>
  <c r="E102" i="115"/>
  <c r="R84" i="115"/>
  <c r="R83" i="115"/>
  <c r="R101" i="115"/>
  <c r="R99" i="115"/>
  <c r="R98" i="115"/>
  <c r="R97" i="115"/>
  <c r="E97" i="115"/>
  <c r="R96" i="115"/>
  <c r="R95" i="115"/>
  <c r="R82" i="115"/>
  <c r="R91" i="115"/>
  <c r="R80" i="115"/>
  <c r="R85" i="115"/>
  <c r="R79" i="115"/>
  <c r="R81" i="115"/>
  <c r="Q78" i="115"/>
  <c r="I78" i="115"/>
  <c r="Q77" i="115"/>
  <c r="I77" i="115"/>
  <c r="R90" i="115"/>
  <c r="R94" i="115"/>
  <c r="R93" i="115"/>
  <c r="R92" i="115"/>
  <c r="P75" i="115"/>
  <c r="O75" i="115"/>
  <c r="N75" i="115"/>
  <c r="M75" i="115"/>
  <c r="L75" i="115"/>
  <c r="K75" i="115"/>
  <c r="J75" i="115"/>
  <c r="H75" i="115"/>
  <c r="G75" i="115"/>
  <c r="F75" i="115"/>
  <c r="D75" i="115"/>
  <c r="R74" i="115"/>
  <c r="R73" i="115"/>
  <c r="R72" i="115"/>
  <c r="L71" i="115"/>
  <c r="L37" i="115" s="1"/>
  <c r="E71" i="115"/>
  <c r="E37" i="115" s="1"/>
  <c r="R70" i="115"/>
  <c r="R69" i="115"/>
  <c r="R67" i="115"/>
  <c r="R66" i="115"/>
  <c r="R65" i="115"/>
  <c r="R64" i="115"/>
  <c r="R63" i="115"/>
  <c r="R62" i="115"/>
  <c r="Q61" i="115"/>
  <c r="R61" i="115" s="1"/>
  <c r="R60" i="115"/>
  <c r="R59" i="115"/>
  <c r="R58" i="115"/>
  <c r="R57" i="115"/>
  <c r="R56" i="115"/>
  <c r="R55" i="115"/>
  <c r="R54" i="115"/>
  <c r="R53" i="115"/>
  <c r="R52" i="115"/>
  <c r="R51" i="115"/>
  <c r="R50" i="115"/>
  <c r="R49" i="115"/>
  <c r="R48" i="115"/>
  <c r="R47" i="115"/>
  <c r="R46" i="115"/>
  <c r="R45" i="115"/>
  <c r="R44" i="115"/>
  <c r="N43" i="115"/>
  <c r="R43" i="115" s="1"/>
  <c r="R42" i="115"/>
  <c r="R41" i="115"/>
  <c r="R40" i="115"/>
  <c r="R39" i="115"/>
  <c r="R38" i="115"/>
  <c r="P37" i="115"/>
  <c r="O37" i="115"/>
  <c r="M37" i="115"/>
  <c r="K37" i="115"/>
  <c r="J37" i="115"/>
  <c r="I37" i="115"/>
  <c r="H37" i="115"/>
  <c r="G37" i="115"/>
  <c r="F37" i="115"/>
  <c r="D37" i="115"/>
  <c r="I36" i="115"/>
  <c r="I35" i="115"/>
  <c r="Q34" i="115"/>
  <c r="P34" i="115"/>
  <c r="O34" i="115"/>
  <c r="N34" i="115"/>
  <c r="M34" i="115"/>
  <c r="L34" i="115"/>
  <c r="K34" i="115"/>
  <c r="J34" i="115"/>
  <c r="H34" i="115"/>
  <c r="G34" i="115"/>
  <c r="F34" i="115"/>
  <c r="E34" i="115"/>
  <c r="D34" i="115"/>
  <c r="M30" i="115"/>
  <c r="L30" i="115"/>
  <c r="E30" i="115"/>
  <c r="D30" i="115"/>
  <c r="K29" i="115"/>
  <c r="J29" i="115"/>
  <c r="Q27" i="115"/>
  <c r="R27" i="115" s="1"/>
  <c r="R26" i="115"/>
  <c r="Q25" i="115"/>
  <c r="P25" i="115"/>
  <c r="O25" i="115"/>
  <c r="K25" i="115"/>
  <c r="I25" i="115"/>
  <c r="F25" i="115"/>
  <c r="S25" i="115" s="1"/>
  <c r="R24" i="115"/>
  <c r="Q23" i="115"/>
  <c r="P23" i="115"/>
  <c r="J23" i="115"/>
  <c r="O21" i="115"/>
  <c r="R21" i="115" s="1"/>
  <c r="R22" i="115"/>
  <c r="Q20" i="115"/>
  <c r="N20" i="115"/>
  <c r="R19" i="115"/>
  <c r="Q17" i="115"/>
  <c r="N17" i="115"/>
  <c r="I17" i="115"/>
  <c r="G17" i="115"/>
  <c r="G30" i="115" s="1"/>
  <c r="F17" i="115"/>
  <c r="S17" i="115" s="1"/>
  <c r="Q16" i="115"/>
  <c r="O16" i="115"/>
  <c r="I16" i="115"/>
  <c r="H16" i="115"/>
  <c r="H30" i="115" s="1"/>
  <c r="F16" i="115"/>
  <c r="S16" i="115" s="1"/>
  <c r="R18" i="115"/>
  <c r="R15" i="115"/>
  <c r="N14" i="115"/>
  <c r="M14" i="115"/>
  <c r="E14" i="115"/>
  <c r="D14" i="115"/>
  <c r="Q12" i="115"/>
  <c r="P12" i="115"/>
  <c r="O12" i="115"/>
  <c r="L12" i="115"/>
  <c r="K12" i="115"/>
  <c r="J12" i="115"/>
  <c r="I12" i="115"/>
  <c r="H12" i="115"/>
  <c r="F12" i="115"/>
  <c r="S12" i="115" s="1"/>
  <c r="Q11" i="115"/>
  <c r="P11" i="115"/>
  <c r="O11" i="115"/>
  <c r="L11" i="115"/>
  <c r="K11" i="115"/>
  <c r="J11" i="115"/>
  <c r="I11" i="115"/>
  <c r="H11" i="115"/>
  <c r="F11" i="115"/>
  <c r="S11" i="115" s="1"/>
  <c r="Q10" i="115"/>
  <c r="O10" i="115"/>
  <c r="L10" i="115"/>
  <c r="J10" i="115"/>
  <c r="I10" i="115"/>
  <c r="Q9" i="115"/>
  <c r="P9" i="115"/>
  <c r="O9" i="115"/>
  <c r="K9" i="115"/>
  <c r="J9" i="115"/>
  <c r="I9" i="115"/>
  <c r="H9" i="115"/>
  <c r="F9" i="115"/>
  <c r="S9" i="115" s="1"/>
  <c r="Q7" i="115"/>
  <c r="P7" i="115"/>
  <c r="L7" i="115"/>
  <c r="K7" i="115"/>
  <c r="G7" i="115"/>
  <c r="G14" i="115" s="1"/>
  <c r="F7" i="115"/>
  <c r="S7" i="115" s="1"/>
  <c r="H8" i="115"/>
  <c r="R8" i="115" s="1"/>
  <c r="Q13" i="115"/>
  <c r="O13" i="115"/>
  <c r="K13" i="115"/>
  <c r="Q6" i="115"/>
  <c r="P6" i="115"/>
  <c r="O6" i="115"/>
  <c r="L6" i="115"/>
  <c r="K6" i="115"/>
  <c r="J6" i="115"/>
  <c r="I6" i="115"/>
  <c r="H6" i="115"/>
  <c r="F6" i="115"/>
  <c r="S6" i="115" s="1"/>
  <c r="Q5" i="115"/>
  <c r="P5" i="115"/>
  <c r="O5" i="115"/>
  <c r="L5" i="115"/>
  <c r="K5" i="115"/>
  <c r="J5" i="115"/>
  <c r="I5" i="115"/>
  <c r="H5" i="115"/>
  <c r="F5" i="115"/>
  <c r="S5" i="115" s="1"/>
  <c r="Q4" i="115"/>
  <c r="P4" i="115"/>
  <c r="O4" i="115"/>
  <c r="L4" i="115"/>
  <c r="K4" i="115"/>
  <c r="J4" i="115"/>
  <c r="I4" i="115"/>
  <c r="H4" i="115"/>
  <c r="F4" i="115"/>
  <c r="S4" i="115" s="1"/>
  <c r="W75" i="115" l="1"/>
  <c r="W33" i="115" s="1"/>
  <c r="S14" i="115"/>
  <c r="S75" i="115"/>
  <c r="U14" i="115"/>
  <c r="R105" i="115"/>
  <c r="W14" i="115"/>
  <c r="AX13" i="115"/>
  <c r="AV14" i="115"/>
  <c r="AV75" i="115"/>
  <c r="AX22" i="115"/>
  <c r="AX12" i="115"/>
  <c r="U75" i="115"/>
  <c r="AR32" i="115"/>
  <c r="AR119" i="115" s="1"/>
  <c r="AR33" i="115"/>
  <c r="AJ32" i="115"/>
  <c r="AJ33" i="115"/>
  <c r="AB32" i="115"/>
  <c r="AB33" i="115"/>
  <c r="S105" i="115"/>
  <c r="AX21" i="115"/>
  <c r="AQ33" i="115"/>
  <c r="AQ32" i="115"/>
  <c r="AQ119" i="115" s="1"/>
  <c r="AI33" i="115"/>
  <c r="AI32" i="115"/>
  <c r="AA33" i="115"/>
  <c r="AA32" i="115"/>
  <c r="AX4" i="115"/>
  <c r="AX20" i="115"/>
  <c r="U105" i="115"/>
  <c r="AP33" i="115"/>
  <c r="AP32" i="115"/>
  <c r="AP119" i="115" s="1"/>
  <c r="AH33" i="115"/>
  <c r="AH32" i="115"/>
  <c r="Z33" i="115"/>
  <c r="Z32" i="115"/>
  <c r="AX19" i="115"/>
  <c r="AX33" i="115"/>
  <c r="AX32" i="115"/>
  <c r="AO33" i="115"/>
  <c r="AO32" i="115"/>
  <c r="AG33" i="115"/>
  <c r="AG32" i="115"/>
  <c r="Y33" i="115"/>
  <c r="Y32" i="115"/>
  <c r="AX18" i="115"/>
  <c r="AX8" i="115"/>
  <c r="AW33" i="115"/>
  <c r="AW32" i="115"/>
  <c r="AW119" i="115" s="1"/>
  <c r="AN33" i="115"/>
  <c r="AN32" i="115"/>
  <c r="AN119" i="115" s="1"/>
  <c r="AF33" i="115"/>
  <c r="AF32" i="115"/>
  <c r="X33" i="115"/>
  <c r="X32" i="115"/>
  <c r="AX25" i="115"/>
  <c r="AX17" i="115"/>
  <c r="AX7" i="115"/>
  <c r="AU33" i="115"/>
  <c r="AU32" i="115"/>
  <c r="AU119" i="115" s="1"/>
  <c r="AM33" i="115"/>
  <c r="AM32" i="115"/>
  <c r="AM119" i="115" s="1"/>
  <c r="AE33" i="115"/>
  <c r="AE32" i="115"/>
  <c r="W32" i="115"/>
  <c r="AX24" i="115"/>
  <c r="AX16" i="115"/>
  <c r="AT32" i="115"/>
  <c r="AT119" i="115" s="1"/>
  <c r="AT33" i="115"/>
  <c r="AL32" i="115"/>
  <c r="AL33" i="115"/>
  <c r="AD32" i="115"/>
  <c r="AD33" i="115"/>
  <c r="V32" i="115"/>
  <c r="V33" i="115"/>
  <c r="AV105" i="115"/>
  <c r="AX23" i="115"/>
  <c r="AX15" i="115"/>
  <c r="AX6" i="115"/>
  <c r="AO119" i="115"/>
  <c r="AS32" i="115"/>
  <c r="AS119" i="115" s="1"/>
  <c r="AS33" i="115"/>
  <c r="AK32" i="115"/>
  <c r="AK33" i="115"/>
  <c r="AC32" i="115"/>
  <c r="AC33" i="115"/>
  <c r="T32" i="115"/>
  <c r="T33" i="115"/>
  <c r="AV37" i="115"/>
  <c r="AX5" i="115"/>
  <c r="AX11" i="115"/>
  <c r="S37" i="115"/>
  <c r="AX10" i="115"/>
  <c r="AX9" i="115"/>
  <c r="U37" i="115"/>
  <c r="U34" i="115"/>
  <c r="AV34" i="115"/>
  <c r="W30" i="115"/>
  <c r="W31" i="115" s="1"/>
  <c r="AF30" i="115"/>
  <c r="S34" i="115"/>
  <c r="U30" i="115"/>
  <c r="U31" i="115" s="1"/>
  <c r="AI31" i="115"/>
  <c r="Z31" i="115"/>
  <c r="Z119" i="115" s="1"/>
  <c r="AH31" i="115"/>
  <c r="Y31" i="115"/>
  <c r="Y119" i="115" s="1"/>
  <c r="AG31" i="115"/>
  <c r="X31" i="115"/>
  <c r="AV30" i="115"/>
  <c r="AE31" i="115"/>
  <c r="T31" i="115"/>
  <c r="AD31" i="115"/>
  <c r="AC31" i="115"/>
  <c r="AB31" i="115"/>
  <c r="AJ31" i="115"/>
  <c r="AA31" i="115"/>
  <c r="AA119" i="115" s="1"/>
  <c r="S30" i="115"/>
  <c r="AK31" i="115"/>
  <c r="V15" i="115"/>
  <c r="V30" i="115" s="1"/>
  <c r="D32" i="115"/>
  <c r="E75" i="115"/>
  <c r="E32" i="115" s="1"/>
  <c r="R77" i="115"/>
  <c r="Q37" i="115"/>
  <c r="N37" i="115"/>
  <c r="N32" i="115" s="1"/>
  <c r="I30" i="115"/>
  <c r="K14" i="115"/>
  <c r="R20" i="115"/>
  <c r="K30" i="115"/>
  <c r="P14" i="115"/>
  <c r="R10" i="115"/>
  <c r="L14" i="115"/>
  <c r="L31" i="115" s="1"/>
  <c r="R13" i="115"/>
  <c r="R12" i="115"/>
  <c r="Q30" i="115"/>
  <c r="N30" i="115"/>
  <c r="N31" i="115" s="1"/>
  <c r="P30" i="115"/>
  <c r="I75" i="115"/>
  <c r="R4" i="115"/>
  <c r="H14" i="115"/>
  <c r="H31" i="115" s="1"/>
  <c r="R9" i="115"/>
  <c r="F30" i="115"/>
  <c r="R25" i="115"/>
  <c r="R29" i="115"/>
  <c r="H105" i="115"/>
  <c r="H32" i="115" s="1"/>
  <c r="R17" i="115"/>
  <c r="I14" i="115"/>
  <c r="R6" i="115"/>
  <c r="J14" i="115"/>
  <c r="J30" i="115"/>
  <c r="O14" i="115"/>
  <c r="R5" i="115"/>
  <c r="R11" i="115"/>
  <c r="M32" i="115"/>
  <c r="F33" i="115"/>
  <c r="P32" i="115"/>
  <c r="L32" i="115"/>
  <c r="K33" i="115"/>
  <c r="F32" i="115"/>
  <c r="J32" i="115"/>
  <c r="O33" i="115"/>
  <c r="G33" i="115"/>
  <c r="J33" i="115"/>
  <c r="M33" i="115"/>
  <c r="G32" i="115"/>
  <c r="D33" i="115"/>
  <c r="P33" i="115"/>
  <c r="K32" i="115"/>
  <c r="D31" i="115"/>
  <c r="L33" i="115"/>
  <c r="O32" i="115"/>
  <c r="R7" i="115"/>
  <c r="M31" i="115"/>
  <c r="Q14" i="115"/>
  <c r="F14" i="115"/>
  <c r="R23" i="115"/>
  <c r="O30" i="115"/>
  <c r="G31" i="115"/>
  <c r="R16" i="115"/>
  <c r="R35" i="115"/>
  <c r="I34" i="115"/>
  <c r="E31" i="115"/>
  <c r="R36" i="115"/>
  <c r="R71" i="115"/>
  <c r="R37" i="115" s="1"/>
  <c r="Q75" i="115"/>
  <c r="R78" i="115"/>
  <c r="W24" i="114"/>
  <c r="W25" i="114"/>
  <c r="W5" i="114"/>
  <c r="W6" i="114"/>
  <c r="W7" i="114"/>
  <c r="W8" i="114"/>
  <c r="W9" i="114"/>
  <c r="W10" i="114"/>
  <c r="W11" i="114"/>
  <c r="W12" i="114"/>
  <c r="W13" i="114"/>
  <c r="W14" i="114"/>
  <c r="W16" i="114"/>
  <c r="W17" i="114"/>
  <c r="W18" i="114"/>
  <c r="W19" i="114"/>
  <c r="W20" i="114"/>
  <c r="W21" i="114"/>
  <c r="W4" i="114"/>
  <c r="V25" i="114"/>
  <c r="V24" i="114"/>
  <c r="E19" i="114"/>
  <c r="F19" i="114"/>
  <c r="F22" i="114" s="1"/>
  <c r="F33" i="114" s="1"/>
  <c r="G19" i="114"/>
  <c r="G22" i="114" s="1"/>
  <c r="G33" i="114" s="1"/>
  <c r="H19" i="114"/>
  <c r="I19" i="114"/>
  <c r="J19" i="114"/>
  <c r="J22" i="114" s="1"/>
  <c r="J33" i="114" s="1"/>
  <c r="K19" i="114"/>
  <c r="K22" i="114" s="1"/>
  <c r="K33" i="114" s="1"/>
  <c r="L19" i="114"/>
  <c r="M19" i="114"/>
  <c r="N19" i="114"/>
  <c r="N22" i="114" s="1"/>
  <c r="N33" i="114" s="1"/>
  <c r="O19" i="114"/>
  <c r="O22" i="114" s="1"/>
  <c r="O33" i="114" s="1"/>
  <c r="P19" i="114"/>
  <c r="Q19" i="114"/>
  <c r="R19" i="114"/>
  <c r="R22" i="114" s="1"/>
  <c r="R33" i="114" s="1"/>
  <c r="S19" i="114"/>
  <c r="S22" i="114" s="1"/>
  <c r="S33" i="114" s="1"/>
  <c r="T19" i="114"/>
  <c r="U19" i="114"/>
  <c r="V19" i="114"/>
  <c r="V22" i="114" s="1"/>
  <c r="W22" i="114"/>
  <c r="X19" i="114"/>
  <c r="Y19" i="114"/>
  <c r="C19" i="114"/>
  <c r="C22" i="114" s="1"/>
  <c r="D22" i="114"/>
  <c r="D33" i="114" s="1"/>
  <c r="E22" i="114"/>
  <c r="E33" i="114" s="1"/>
  <c r="H22" i="114"/>
  <c r="H33" i="114" s="1"/>
  <c r="I22" i="114"/>
  <c r="I33" i="114" s="1"/>
  <c r="L22" i="114"/>
  <c r="L33" i="114" s="1"/>
  <c r="M22" i="114"/>
  <c r="M33" i="114" s="1"/>
  <c r="P22" i="114"/>
  <c r="P33" i="114" s="1"/>
  <c r="Q22" i="114"/>
  <c r="Q33" i="114" s="1"/>
  <c r="T22" i="114"/>
  <c r="T33" i="114" s="1"/>
  <c r="U22" i="114"/>
  <c r="U33" i="114" s="1"/>
  <c r="X22" i="114"/>
  <c r="X33" i="114" s="1"/>
  <c r="Y22" i="114"/>
  <c r="Y33" i="114" s="1"/>
  <c r="E32" i="114"/>
  <c r="F32" i="114"/>
  <c r="G32" i="114"/>
  <c r="H32" i="114"/>
  <c r="I32" i="114"/>
  <c r="J32" i="114"/>
  <c r="K32" i="114"/>
  <c r="L32" i="114"/>
  <c r="M32" i="114"/>
  <c r="N32" i="114"/>
  <c r="O32" i="114"/>
  <c r="P32" i="114"/>
  <c r="Q32" i="114"/>
  <c r="R32" i="114"/>
  <c r="S32" i="114"/>
  <c r="T32" i="114"/>
  <c r="U32" i="114"/>
  <c r="V32" i="114"/>
  <c r="X32" i="114"/>
  <c r="Y32" i="114"/>
  <c r="D32" i="114"/>
  <c r="O31" i="114"/>
  <c r="K31" i="114"/>
  <c r="G31" i="114"/>
  <c r="B31" i="114" s="1"/>
  <c r="C31" i="114"/>
  <c r="S31" i="114" s="1"/>
  <c r="O30" i="114"/>
  <c r="S30" i="114" s="1"/>
  <c r="K30" i="114"/>
  <c r="G30" i="114"/>
  <c r="C30" i="114"/>
  <c r="B30" i="114"/>
  <c r="O29" i="114"/>
  <c r="K29" i="114"/>
  <c r="G29" i="114"/>
  <c r="B29" i="114" s="1"/>
  <c r="C29" i="114"/>
  <c r="S29" i="114" s="1"/>
  <c r="O28" i="114"/>
  <c r="B28" i="114" s="1"/>
  <c r="K28" i="114"/>
  <c r="G28" i="114"/>
  <c r="C28" i="114"/>
  <c r="S28" i="114" s="1"/>
  <c r="O27" i="114"/>
  <c r="K27" i="114"/>
  <c r="G27" i="114"/>
  <c r="B27" i="114" s="1"/>
  <c r="C27" i="114"/>
  <c r="S27" i="114" s="1"/>
  <c r="O26" i="114"/>
  <c r="K26" i="114"/>
  <c r="G26" i="114"/>
  <c r="C26" i="114"/>
  <c r="S26" i="114" s="1"/>
  <c r="B26" i="114"/>
  <c r="O25" i="114"/>
  <c r="K25" i="114"/>
  <c r="G25" i="114"/>
  <c r="B25" i="114" s="1"/>
  <c r="C25" i="114"/>
  <c r="S25" i="114" s="1"/>
  <c r="O24" i="114"/>
  <c r="B24" i="114" s="1"/>
  <c r="K24" i="114"/>
  <c r="G24" i="114"/>
  <c r="C24" i="114"/>
  <c r="S24" i="114" s="1"/>
  <c r="O23" i="114"/>
  <c r="K23" i="114"/>
  <c r="G23" i="114"/>
  <c r="B23" i="114" s="1"/>
  <c r="C23" i="114"/>
  <c r="S23" i="114" s="1"/>
  <c r="O21" i="114"/>
  <c r="K21" i="114"/>
  <c r="G21" i="114"/>
  <c r="C21" i="114"/>
  <c r="S21" i="114" s="1"/>
  <c r="B21" i="114"/>
  <c r="O20" i="114"/>
  <c r="K20" i="114"/>
  <c r="G20" i="114"/>
  <c r="B20" i="114" s="1"/>
  <c r="C20" i="114"/>
  <c r="S20" i="114" s="1"/>
  <c r="D19" i="114"/>
  <c r="O18" i="114"/>
  <c r="K18" i="114"/>
  <c r="G18" i="114"/>
  <c r="B18" i="114" s="1"/>
  <c r="C18" i="114"/>
  <c r="S18" i="114" s="1"/>
  <c r="U17" i="114"/>
  <c r="T17" i="114"/>
  <c r="O17" i="114"/>
  <c r="K17" i="114"/>
  <c r="G17" i="114"/>
  <c r="B17" i="114" s="1"/>
  <c r="C17" i="114"/>
  <c r="S17" i="114" s="1"/>
  <c r="O16" i="114"/>
  <c r="B16" i="114" s="1"/>
  <c r="K16" i="114"/>
  <c r="G16" i="114"/>
  <c r="C16" i="114"/>
  <c r="S16" i="114" s="1"/>
  <c r="O15" i="114"/>
  <c r="K15" i="114"/>
  <c r="G15" i="114"/>
  <c r="B15" i="114" s="1"/>
  <c r="C15" i="114"/>
  <c r="S15" i="114" s="1"/>
  <c r="O14" i="114"/>
  <c r="B14" i="114" s="1"/>
  <c r="K14" i="114"/>
  <c r="G14" i="114"/>
  <c r="C14" i="114"/>
  <c r="S14" i="114" s="1"/>
  <c r="O13" i="114"/>
  <c r="K13" i="114"/>
  <c r="G13" i="114"/>
  <c r="B13" i="114" s="1"/>
  <c r="C13" i="114"/>
  <c r="S13" i="114" s="1"/>
  <c r="O12" i="114"/>
  <c r="K12" i="114"/>
  <c r="G12" i="114"/>
  <c r="C12" i="114"/>
  <c r="S12" i="114" s="1"/>
  <c r="B12" i="114"/>
  <c r="R11" i="114"/>
  <c r="Q11" i="114"/>
  <c r="P11" i="114"/>
  <c r="O11" i="114" s="1"/>
  <c r="N11" i="114"/>
  <c r="M11" i="114"/>
  <c r="L11" i="114"/>
  <c r="K11" i="114" s="1"/>
  <c r="J11" i="114"/>
  <c r="I11" i="114"/>
  <c r="H11" i="114"/>
  <c r="G11" i="114" s="1"/>
  <c r="F11" i="114"/>
  <c r="E11" i="114"/>
  <c r="D11" i="114"/>
  <c r="C11" i="114" s="1"/>
  <c r="O10" i="114"/>
  <c r="K10" i="114"/>
  <c r="G10" i="114"/>
  <c r="C10" i="114"/>
  <c r="S10" i="114" s="1"/>
  <c r="B10" i="114"/>
  <c r="O9" i="114"/>
  <c r="K9" i="114"/>
  <c r="G9" i="114"/>
  <c r="B9" i="114" s="1"/>
  <c r="C9" i="114"/>
  <c r="S9" i="114" s="1"/>
  <c r="O8" i="114"/>
  <c r="B8" i="114" s="1"/>
  <c r="K8" i="114"/>
  <c r="G8" i="114"/>
  <c r="C8" i="114"/>
  <c r="S8" i="114" s="1"/>
  <c r="O7" i="114"/>
  <c r="K7" i="114"/>
  <c r="G7" i="114"/>
  <c r="B7" i="114" s="1"/>
  <c r="C7" i="114"/>
  <c r="S7" i="114" s="1"/>
  <c r="O6" i="114"/>
  <c r="K6" i="114"/>
  <c r="G6" i="114"/>
  <c r="C6" i="114"/>
  <c r="S6" i="114" s="1"/>
  <c r="B6" i="114"/>
  <c r="R5" i="114"/>
  <c r="Q5" i="114"/>
  <c r="P5" i="114"/>
  <c r="O5" i="114" s="1"/>
  <c r="O4" i="114" s="1"/>
  <c r="N5" i="114"/>
  <c r="M5" i="114"/>
  <c r="L5" i="114"/>
  <c r="K5" i="114" s="1"/>
  <c r="K4" i="114" s="1"/>
  <c r="J5" i="114"/>
  <c r="I5" i="114"/>
  <c r="H5" i="114"/>
  <c r="G5" i="114" s="1"/>
  <c r="G4" i="114" s="1"/>
  <c r="F5" i="114"/>
  <c r="E5" i="114"/>
  <c r="D5" i="114"/>
  <c r="C5" i="114" s="1"/>
  <c r="B14" i="113"/>
  <c r="B23" i="113"/>
  <c r="B24" i="113"/>
  <c r="B25" i="113"/>
  <c r="B26" i="113"/>
  <c r="B27" i="113"/>
  <c r="B28" i="113"/>
  <c r="B29" i="113"/>
  <c r="B30" i="113"/>
  <c r="B31" i="113"/>
  <c r="B32" i="113"/>
  <c r="U32" i="113"/>
  <c r="T32" i="113"/>
  <c r="R32" i="113"/>
  <c r="Q32" i="113"/>
  <c r="P32" i="113"/>
  <c r="N32" i="113"/>
  <c r="M32" i="113"/>
  <c r="L32" i="113"/>
  <c r="J32" i="113"/>
  <c r="I32" i="113"/>
  <c r="H32" i="113"/>
  <c r="F32" i="113"/>
  <c r="F33" i="113" s="1"/>
  <c r="E32" i="113"/>
  <c r="D32" i="113"/>
  <c r="O31" i="113"/>
  <c r="K31" i="113"/>
  <c r="G31" i="113"/>
  <c r="C31" i="113"/>
  <c r="S31" i="113" s="1"/>
  <c r="O30" i="113"/>
  <c r="K30" i="113"/>
  <c r="G30" i="113"/>
  <c r="C30" i="113"/>
  <c r="S30" i="113" s="1"/>
  <c r="O29" i="113"/>
  <c r="K29" i="113"/>
  <c r="G29" i="113"/>
  <c r="C29" i="113"/>
  <c r="S29" i="113" s="1"/>
  <c r="O28" i="113"/>
  <c r="K28" i="113"/>
  <c r="G28" i="113"/>
  <c r="C28" i="113"/>
  <c r="S28" i="113" s="1"/>
  <c r="S27" i="113"/>
  <c r="O27" i="113"/>
  <c r="K27" i="113"/>
  <c r="G27" i="113"/>
  <c r="C27" i="113"/>
  <c r="O26" i="113"/>
  <c r="K26" i="113"/>
  <c r="G26" i="113"/>
  <c r="C26" i="113"/>
  <c r="S26" i="113" s="1"/>
  <c r="O25" i="113"/>
  <c r="K25" i="113"/>
  <c r="G25" i="113"/>
  <c r="C25" i="113"/>
  <c r="S25" i="113" s="1"/>
  <c r="O24" i="113"/>
  <c r="K24" i="113"/>
  <c r="G24" i="113"/>
  <c r="C24" i="113"/>
  <c r="S24" i="113" s="1"/>
  <c r="O23" i="113"/>
  <c r="O32" i="113" s="1"/>
  <c r="K23" i="113"/>
  <c r="K32" i="113" s="1"/>
  <c r="G23" i="113"/>
  <c r="G32" i="113" s="1"/>
  <c r="C23" i="113"/>
  <c r="C32" i="113" s="1"/>
  <c r="R22" i="113"/>
  <c r="N22" i="113"/>
  <c r="F22" i="113"/>
  <c r="O21" i="113"/>
  <c r="K21" i="113"/>
  <c r="G21" i="113"/>
  <c r="C21" i="113"/>
  <c r="S21" i="113" s="1"/>
  <c r="O20" i="113"/>
  <c r="K20" i="113"/>
  <c r="G20" i="113"/>
  <c r="C20" i="113"/>
  <c r="B20" i="113" s="1"/>
  <c r="R19" i="113"/>
  <c r="Q19" i="113"/>
  <c r="P19" i="113"/>
  <c r="P22" i="113" s="1"/>
  <c r="N19" i="113"/>
  <c r="M19" i="113"/>
  <c r="M22" i="113" s="1"/>
  <c r="L19" i="113"/>
  <c r="L22" i="113" s="1"/>
  <c r="J19" i="113"/>
  <c r="J22" i="113" s="1"/>
  <c r="I19" i="113"/>
  <c r="G19" i="113" s="1"/>
  <c r="H19" i="113"/>
  <c r="H22" i="113" s="1"/>
  <c r="F19" i="113"/>
  <c r="E19" i="113"/>
  <c r="E22" i="113" s="1"/>
  <c r="D19" i="113"/>
  <c r="D22" i="113" s="1"/>
  <c r="O18" i="113"/>
  <c r="K18" i="113"/>
  <c r="G18" i="113"/>
  <c r="C18" i="113"/>
  <c r="B18" i="113" s="1"/>
  <c r="U17" i="113"/>
  <c r="U22" i="113" s="1"/>
  <c r="U33" i="113" s="1"/>
  <c r="T17" i="113"/>
  <c r="T22" i="113" s="1"/>
  <c r="O17" i="113"/>
  <c r="K17" i="113"/>
  <c r="G17" i="113"/>
  <c r="C17" i="113"/>
  <c r="O16" i="113"/>
  <c r="K16" i="113"/>
  <c r="G16" i="113"/>
  <c r="C16" i="113"/>
  <c r="S16" i="113" s="1"/>
  <c r="O15" i="113"/>
  <c r="K15" i="113"/>
  <c r="G15" i="113"/>
  <c r="S15" i="113" s="1"/>
  <c r="C15" i="113"/>
  <c r="B15" i="113" s="1"/>
  <c r="O14" i="113"/>
  <c r="K14" i="113"/>
  <c r="G14" i="113"/>
  <c r="S14" i="113" s="1"/>
  <c r="C14" i="113"/>
  <c r="O13" i="113"/>
  <c r="K13" i="113"/>
  <c r="G13" i="113"/>
  <c r="C13" i="113"/>
  <c r="O12" i="113"/>
  <c r="K12" i="113"/>
  <c r="G12" i="113"/>
  <c r="C12" i="113"/>
  <c r="R11" i="113"/>
  <c r="Q11" i="113"/>
  <c r="P11" i="113"/>
  <c r="O11" i="113" s="1"/>
  <c r="N11" i="113"/>
  <c r="M11" i="113"/>
  <c r="L11" i="113"/>
  <c r="K11" i="113" s="1"/>
  <c r="J11" i="113"/>
  <c r="I11" i="113"/>
  <c r="H11" i="113"/>
  <c r="G11" i="113" s="1"/>
  <c r="F11" i="113"/>
  <c r="E11" i="113"/>
  <c r="D11" i="113"/>
  <c r="C11" i="113" s="1"/>
  <c r="O10" i="113"/>
  <c r="K10" i="113"/>
  <c r="G10" i="113"/>
  <c r="C10" i="113"/>
  <c r="O9" i="113"/>
  <c r="K9" i="113"/>
  <c r="G9" i="113"/>
  <c r="C9" i="113"/>
  <c r="O8" i="113"/>
  <c r="K8" i="113"/>
  <c r="G8" i="113"/>
  <c r="C8" i="113"/>
  <c r="O7" i="113"/>
  <c r="K7" i="113"/>
  <c r="G7" i="113"/>
  <c r="C7" i="113"/>
  <c r="B7" i="113" s="1"/>
  <c r="O6" i="113"/>
  <c r="K6" i="113"/>
  <c r="B6" i="113" s="1"/>
  <c r="G6" i="113"/>
  <c r="C6" i="113"/>
  <c r="R5" i="113"/>
  <c r="Q5" i="113"/>
  <c r="P5" i="113"/>
  <c r="O5" i="113" s="1"/>
  <c r="O4" i="113" s="1"/>
  <c r="N5" i="113"/>
  <c r="M5" i="113"/>
  <c r="L5" i="113"/>
  <c r="K5" i="113" s="1"/>
  <c r="K4" i="113" s="1"/>
  <c r="J5" i="113"/>
  <c r="I5" i="113"/>
  <c r="H5" i="113"/>
  <c r="F5" i="113"/>
  <c r="E5" i="113"/>
  <c r="D5" i="113"/>
  <c r="AC119" i="115" l="1"/>
  <c r="AD119" i="115"/>
  <c r="T119" i="115"/>
  <c r="W119" i="115"/>
  <c r="X119" i="115"/>
  <c r="AJ119" i="115"/>
  <c r="AX14" i="115"/>
  <c r="S11" i="113"/>
  <c r="B11" i="113"/>
  <c r="S6" i="113"/>
  <c r="S8" i="113"/>
  <c r="S10" i="113"/>
  <c r="S13" i="113"/>
  <c r="S20" i="113"/>
  <c r="N33" i="113"/>
  <c r="B16" i="113"/>
  <c r="B8" i="113"/>
  <c r="S17" i="113"/>
  <c r="R33" i="113"/>
  <c r="B21" i="113"/>
  <c r="B13" i="113"/>
  <c r="C5" i="113"/>
  <c r="B5" i="113" s="1"/>
  <c r="S7" i="113"/>
  <c r="S9" i="113"/>
  <c r="S12" i="113"/>
  <c r="B12" i="113"/>
  <c r="O19" i="113"/>
  <c r="O22" i="113" s="1"/>
  <c r="O33" i="113" s="1"/>
  <c r="J33" i="113"/>
  <c r="B10" i="113"/>
  <c r="G5" i="113"/>
  <c r="G4" i="113" s="1"/>
  <c r="G22" i="113" s="1"/>
  <c r="G33" i="113" s="1"/>
  <c r="S18" i="113"/>
  <c r="B17" i="113"/>
  <c r="B9" i="113"/>
  <c r="AK119" i="115"/>
  <c r="AE119" i="115"/>
  <c r="AX30" i="115"/>
  <c r="AG119" i="115"/>
  <c r="AB119" i="115"/>
  <c r="AH119" i="115"/>
  <c r="AI119" i="115"/>
  <c r="S32" i="115"/>
  <c r="S33" i="115"/>
  <c r="AV33" i="115"/>
  <c r="AV32" i="115"/>
  <c r="U32" i="115"/>
  <c r="U119" i="115" s="1"/>
  <c r="U33" i="115"/>
  <c r="R75" i="115"/>
  <c r="AV31" i="115"/>
  <c r="R30" i="115"/>
  <c r="P31" i="115"/>
  <c r="P119" i="115" s="1"/>
  <c r="S31" i="115"/>
  <c r="AL31" i="115"/>
  <c r="AL119" i="115" s="1"/>
  <c r="V4" i="115"/>
  <c r="V14" i="115" s="1"/>
  <c r="AF31" i="115"/>
  <c r="AF119" i="115" s="1"/>
  <c r="M119" i="115"/>
  <c r="E33" i="115"/>
  <c r="I31" i="115"/>
  <c r="Q32" i="115"/>
  <c r="Q31" i="115"/>
  <c r="D119" i="115"/>
  <c r="N33" i="115"/>
  <c r="H33" i="115"/>
  <c r="O31" i="115"/>
  <c r="O119" i="115" s="1"/>
  <c r="F31" i="115"/>
  <c r="F119" i="115" s="1"/>
  <c r="R14" i="115"/>
  <c r="K31" i="115"/>
  <c r="K119" i="115" s="1"/>
  <c r="J31" i="115"/>
  <c r="J119" i="115" s="1"/>
  <c r="N119" i="115"/>
  <c r="L119" i="115"/>
  <c r="G119" i="115"/>
  <c r="H119" i="115"/>
  <c r="E119" i="115"/>
  <c r="Q33" i="115"/>
  <c r="R34" i="115"/>
  <c r="I32" i="115"/>
  <c r="I33" i="115"/>
  <c r="W32" i="114"/>
  <c r="W33" i="114"/>
  <c r="V33" i="114"/>
  <c r="S5" i="114"/>
  <c r="B5" i="114"/>
  <c r="C4" i="114"/>
  <c r="S11" i="114"/>
  <c r="B11" i="114"/>
  <c r="C32" i="114"/>
  <c r="L33" i="113"/>
  <c r="M33" i="113"/>
  <c r="D33" i="113"/>
  <c r="E33" i="113"/>
  <c r="P33" i="113"/>
  <c r="Q33" i="113"/>
  <c r="H33" i="113"/>
  <c r="I33" i="113"/>
  <c r="C19" i="113"/>
  <c r="K19" i="113"/>
  <c r="K22" i="113" s="1"/>
  <c r="K33" i="113" s="1"/>
  <c r="I22" i="113"/>
  <c r="Q22" i="113"/>
  <c r="S23" i="113"/>
  <c r="S32" i="113" s="1"/>
  <c r="BS105" i="112"/>
  <c r="BS111" i="112"/>
  <c r="BT105" i="112"/>
  <c r="BT111" i="112"/>
  <c r="BT126" i="112"/>
  <c r="BQ97" i="112"/>
  <c r="BQ105" i="112"/>
  <c r="BQ111" i="112"/>
  <c r="BQ126" i="112"/>
  <c r="AX31" i="115" l="1"/>
  <c r="AX119" i="115" s="1"/>
  <c r="S19" i="113"/>
  <c r="B19" i="113"/>
  <c r="C4" i="113"/>
  <c r="B4" i="113" s="1"/>
  <c r="S5" i="113"/>
  <c r="S119" i="115"/>
  <c r="AV119" i="115"/>
  <c r="V31" i="115"/>
  <c r="V119" i="115" s="1"/>
  <c r="Q119" i="115"/>
  <c r="I119" i="115"/>
  <c r="R31" i="115"/>
  <c r="R32" i="115"/>
  <c r="R33" i="115"/>
  <c r="B32" i="114"/>
  <c r="B19" i="114"/>
  <c r="B22" i="114" s="1"/>
  <c r="B4" i="114"/>
  <c r="S4" i="114"/>
  <c r="C33" i="114"/>
  <c r="BL11" i="112"/>
  <c r="BL20" i="112"/>
  <c r="BL12" i="112"/>
  <c r="BL10" i="112"/>
  <c r="BL9" i="112"/>
  <c r="BL6" i="112"/>
  <c r="BL5" i="112"/>
  <c r="BL4" i="112"/>
  <c r="C22" i="113" l="1"/>
  <c r="B22" i="113" s="1"/>
  <c r="S4" i="113"/>
  <c r="R119" i="115"/>
  <c r="B33" i="114"/>
  <c r="S22" i="113"/>
  <c r="C33" i="113"/>
  <c r="BL18" i="112"/>
  <c r="BL17" i="112"/>
  <c r="BL25" i="112"/>
  <c r="BL13" i="112"/>
  <c r="S33" i="113" l="1"/>
  <c r="B33" i="113"/>
  <c r="BL7" i="112"/>
  <c r="BL23" i="112" l="1"/>
  <c r="BP97" i="112" l="1"/>
  <c r="BP105" i="112"/>
  <c r="BP111" i="112"/>
  <c r="BP126" i="112"/>
  <c r="BO97" i="112"/>
  <c r="BO105" i="112"/>
  <c r="BO111" i="112"/>
  <c r="BL60" i="112" l="1"/>
  <c r="BL80" i="112"/>
  <c r="BL81" i="112"/>
  <c r="AI108" i="112" l="1"/>
  <c r="AI71" i="112" l="1"/>
  <c r="AL113" i="112" l="1"/>
  <c r="BA113" i="112"/>
  <c r="BB113" i="112"/>
  <c r="BD113" i="112"/>
  <c r="BE113" i="112"/>
  <c r="BF113" i="112"/>
  <c r="BG113" i="112"/>
  <c r="BH113" i="112"/>
  <c r="BI113" i="112"/>
  <c r="BJ113" i="112"/>
  <c r="BK113" i="112"/>
  <c r="BL113" i="112"/>
  <c r="BN113" i="112"/>
  <c r="AI102" i="112" l="1"/>
  <c r="AI101" i="112"/>
  <c r="BM117" i="112" l="1"/>
  <c r="BT117" i="112" l="1"/>
  <c r="BQ117" i="112"/>
  <c r="BP117" i="112"/>
  <c r="AZ58" i="112"/>
  <c r="AZ82" i="112"/>
  <c r="BL27" i="112" l="1"/>
  <c r="BV20" i="112"/>
  <c r="AZ35" i="112" l="1"/>
  <c r="AZ34" i="112"/>
  <c r="AZ60" i="112"/>
  <c r="AZ81" i="112"/>
  <c r="AZ80" i="112"/>
  <c r="BR126" i="112"/>
  <c r="BR97" i="112"/>
  <c r="BR105" i="112"/>
  <c r="BR111" i="112"/>
  <c r="BW20" i="112" l="1"/>
  <c r="BV29" i="112"/>
  <c r="BL14" i="112"/>
  <c r="BW5" i="112"/>
  <c r="BW7" i="112"/>
  <c r="BW8" i="112"/>
  <c r="BW10" i="112"/>
  <c r="BW13" i="112"/>
  <c r="BW15" i="112"/>
  <c r="BW16" i="112"/>
  <c r="BW17" i="112"/>
  <c r="BW18" i="112"/>
  <c r="BW19" i="112"/>
  <c r="BW21" i="112"/>
  <c r="BW22" i="112"/>
  <c r="BW23" i="112"/>
  <c r="BW24" i="112"/>
  <c r="BW25" i="112"/>
  <c r="BW26" i="112"/>
  <c r="BW27" i="112"/>
  <c r="BW28" i="112"/>
  <c r="BW4" i="112"/>
  <c r="CC9" i="83"/>
  <c r="BJ5" i="83"/>
  <c r="BJ8" i="83"/>
  <c r="BJ9" i="83"/>
  <c r="BW29" i="112" l="1"/>
  <c r="BN5" i="112"/>
  <c r="BN6" i="112"/>
  <c r="BN7" i="112"/>
  <c r="BN8" i="112"/>
  <c r="BN9" i="112"/>
  <c r="BN10" i="112"/>
  <c r="BN11" i="112"/>
  <c r="BN12" i="112"/>
  <c r="BN13" i="112"/>
  <c r="BN15" i="112"/>
  <c r="BN16" i="112"/>
  <c r="BN17" i="112"/>
  <c r="BN18" i="112"/>
  <c r="BN19" i="112"/>
  <c r="BN20" i="112"/>
  <c r="BN21" i="112"/>
  <c r="BN22" i="112"/>
  <c r="BN23" i="112"/>
  <c r="BN24" i="112"/>
  <c r="BN25" i="112"/>
  <c r="BN26" i="112"/>
  <c r="BN27" i="112"/>
  <c r="BN28" i="112"/>
  <c r="BN4" i="112"/>
  <c r="BR128" i="112"/>
  <c r="BM128" i="112"/>
  <c r="AX128" i="112"/>
  <c r="AW128" i="112" s="1"/>
  <c r="AS128" i="112"/>
  <c r="AR128" i="112"/>
  <c r="AP128" i="112"/>
  <c r="AM128" i="112"/>
  <c r="AK128" i="112" s="1"/>
  <c r="T128" i="112"/>
  <c r="R128" i="112"/>
  <c r="BR127" i="112"/>
  <c r="BM127" i="112"/>
  <c r="AW127" i="112"/>
  <c r="AS127" i="112"/>
  <c r="AR127" i="112"/>
  <c r="AP127" i="112"/>
  <c r="AM127" i="112"/>
  <c r="AK127" i="112" s="1"/>
  <c r="AG127" i="112"/>
  <c r="T127" i="112"/>
  <c r="R127" i="112"/>
  <c r="AX126" i="112"/>
  <c r="T126" i="112"/>
  <c r="BM125" i="112"/>
  <c r="AW125" i="112"/>
  <c r="AU125" i="112"/>
  <c r="AS125" i="112" s="1"/>
  <c r="AR125" i="112"/>
  <c r="AP125" i="112"/>
  <c r="AM125" i="112"/>
  <c r="AK125" i="112" s="1"/>
  <c r="AG125" i="112"/>
  <c r="T125" i="112"/>
  <c r="R125" i="112"/>
  <c r="D125" i="112"/>
  <c r="BM124" i="112"/>
  <c r="AY124" i="112"/>
  <c r="AX124" i="112"/>
  <c r="AU124" i="112"/>
  <c r="AS124" i="112" s="1"/>
  <c r="AR124" i="112"/>
  <c r="AQ124" i="112"/>
  <c r="AP124" i="112"/>
  <c r="AN124" i="112"/>
  <c r="AM124" i="112"/>
  <c r="AG124" i="112"/>
  <c r="T124" i="112"/>
  <c r="R124" i="112"/>
  <c r="BM123" i="112"/>
  <c r="AY123" i="112"/>
  <c r="AX123" i="112"/>
  <c r="AU123" i="112"/>
  <c r="AS123" i="112" s="1"/>
  <c r="AR123" i="112"/>
  <c r="AQ123" i="112"/>
  <c r="AP123" i="112"/>
  <c r="AN123" i="112"/>
  <c r="AM123" i="112"/>
  <c r="AI123" i="112"/>
  <c r="AI113" i="112" s="1"/>
  <c r="AG123" i="112"/>
  <c r="T123" i="112"/>
  <c r="S123" i="112"/>
  <c r="R123" i="112"/>
  <c r="BM122" i="112"/>
  <c r="AY122" i="112"/>
  <c r="AX122" i="112"/>
  <c r="AU122" i="112"/>
  <c r="AS122" i="112" s="1"/>
  <c r="AR122" i="112"/>
  <c r="AQ122" i="112"/>
  <c r="AP122" i="112"/>
  <c r="AN122" i="112"/>
  <c r="AM122" i="112"/>
  <c r="AG122" i="112"/>
  <c r="T122" i="112"/>
  <c r="R122" i="112"/>
  <c r="BM121" i="112"/>
  <c r="AX121" i="112"/>
  <c r="AW121" i="112" s="1"/>
  <c r="AU121" i="112"/>
  <c r="AS121" i="112" s="1"/>
  <c r="AR121" i="112"/>
  <c r="AQ121" i="112"/>
  <c r="AP121" i="112"/>
  <c r="AN121" i="112"/>
  <c r="AM121" i="112"/>
  <c r="AG121" i="112"/>
  <c r="T121" i="112"/>
  <c r="R121" i="112"/>
  <c r="BM120" i="112"/>
  <c r="AX120" i="112"/>
  <c r="AW120" i="112" s="1"/>
  <c r="AU120" i="112"/>
  <c r="AS120" i="112" s="1"/>
  <c r="AR120" i="112"/>
  <c r="AQ120" i="112"/>
  <c r="AP120" i="112"/>
  <c r="AN120" i="112"/>
  <c r="AM120" i="112"/>
  <c r="AG120" i="112"/>
  <c r="T120" i="112"/>
  <c r="R120" i="112"/>
  <c r="BM119" i="112"/>
  <c r="AY119" i="112"/>
  <c r="AX119" i="112"/>
  <c r="AU119" i="112"/>
  <c r="AS119" i="112" s="1"/>
  <c r="AR119" i="112"/>
  <c r="AQ119" i="112"/>
  <c r="AP119" i="112"/>
  <c r="AN119" i="112"/>
  <c r="AM119" i="112"/>
  <c r="AG119" i="112"/>
  <c r="T119" i="112"/>
  <c r="P119" i="112"/>
  <c r="BC118" i="112"/>
  <c r="AY118" i="112"/>
  <c r="AX118" i="112"/>
  <c r="AU118" i="112"/>
  <c r="AS118" i="112" s="1"/>
  <c r="AR118" i="112"/>
  <c r="AQ118" i="112"/>
  <c r="AP118" i="112"/>
  <c r="AM118" i="112"/>
  <c r="AC118" i="112"/>
  <c r="T118" i="112" s="1"/>
  <c r="R118" i="112"/>
  <c r="BM116" i="112"/>
  <c r="AW116" i="112"/>
  <c r="AU116" i="112"/>
  <c r="AS116" i="112" s="1"/>
  <c r="AR116" i="112"/>
  <c r="AP116" i="112"/>
  <c r="AN116" i="112"/>
  <c r="AM116" i="112"/>
  <c r="AG116" i="112"/>
  <c r="T116" i="112"/>
  <c r="R116" i="112"/>
  <c r="BM115" i="112"/>
  <c r="AU115" i="112"/>
  <c r="AR115" i="112"/>
  <c r="AP115" i="112"/>
  <c r="AN115" i="112"/>
  <c r="AM115" i="112"/>
  <c r="T115" i="112"/>
  <c r="BM114" i="112"/>
  <c r="AZ114" i="112"/>
  <c r="AZ113" i="112" s="1"/>
  <c r="AY114" i="112"/>
  <c r="AX114" i="112"/>
  <c r="AV114" i="112"/>
  <c r="AV113" i="112" s="1"/>
  <c r="AU114" i="112"/>
  <c r="AT114" i="112"/>
  <c r="AT113" i="112" s="1"/>
  <c r="AR114" i="112"/>
  <c r="AR113" i="112" s="1"/>
  <c r="AP114" i="112"/>
  <c r="AN114" i="112"/>
  <c r="Y114" i="112"/>
  <c r="AG114" i="112" s="1"/>
  <c r="R114" i="112"/>
  <c r="AH113" i="112"/>
  <c r="AF113" i="112"/>
  <c r="AE113" i="112"/>
  <c r="AD113" i="112"/>
  <c r="AC113" i="112"/>
  <c r="AB113" i="112"/>
  <c r="AA113" i="112"/>
  <c r="Z113" i="112"/>
  <c r="Y113" i="112"/>
  <c r="X113" i="112"/>
  <c r="W113" i="112"/>
  <c r="V113" i="112"/>
  <c r="U113" i="112"/>
  <c r="S113" i="112"/>
  <c r="Q113" i="112"/>
  <c r="P113" i="112"/>
  <c r="O113" i="112"/>
  <c r="N113" i="112"/>
  <c r="M113" i="112"/>
  <c r="L113" i="112"/>
  <c r="K113" i="112"/>
  <c r="J113" i="112"/>
  <c r="I113" i="112"/>
  <c r="H113" i="112"/>
  <c r="G113" i="112"/>
  <c r="F113" i="112"/>
  <c r="BM112" i="112"/>
  <c r="AX112" i="112"/>
  <c r="AW112" i="112" s="1"/>
  <c r="AU112" i="112"/>
  <c r="AS112" i="112" s="1"/>
  <c r="AR112" i="112"/>
  <c r="AP112" i="112"/>
  <c r="AN112" i="112"/>
  <c r="AM112" i="112"/>
  <c r="AG112" i="112"/>
  <c r="T112" i="112"/>
  <c r="R112" i="112"/>
  <c r="AX111" i="112"/>
  <c r="AU111" i="112"/>
  <c r="AR111" i="112"/>
  <c r="T111" i="112"/>
  <c r="BM110" i="112"/>
  <c r="AX110" i="112"/>
  <c r="AW110" i="112" s="1"/>
  <c r="AU110" i="112"/>
  <c r="AS110" i="112" s="1"/>
  <c r="AR110" i="112"/>
  <c r="AP110" i="112"/>
  <c r="AN110" i="112"/>
  <c r="AM110" i="112"/>
  <c r="AG110" i="112"/>
  <c r="T110" i="112"/>
  <c r="R110" i="112"/>
  <c r="BM109" i="112"/>
  <c r="AX109" i="112"/>
  <c r="AW109" i="112" s="1"/>
  <c r="AU109" i="112"/>
  <c r="AS109" i="112" s="1"/>
  <c r="AR109" i="112"/>
  <c r="AP109" i="112"/>
  <c r="AN109" i="112"/>
  <c r="AM109" i="112"/>
  <c r="AG109" i="112"/>
  <c r="T109" i="112"/>
  <c r="BM108" i="112"/>
  <c r="AY108" i="112"/>
  <c r="AX108" i="112"/>
  <c r="AU108" i="112"/>
  <c r="AS108" i="112" s="1"/>
  <c r="AR108" i="112"/>
  <c r="AQ108" i="112"/>
  <c r="AP108" i="112"/>
  <c r="AN108" i="112"/>
  <c r="AM108" i="112"/>
  <c r="AG108" i="112"/>
  <c r="T108" i="112"/>
  <c r="R108" i="112"/>
  <c r="BM107" i="112"/>
  <c r="AW107" i="112"/>
  <c r="AU107" i="112"/>
  <c r="AS107" i="112" s="1"/>
  <c r="AR107" i="112"/>
  <c r="AP107" i="112"/>
  <c r="AN107" i="112"/>
  <c r="AM107" i="112"/>
  <c r="AG107" i="112"/>
  <c r="T107" i="112"/>
  <c r="BM106" i="112"/>
  <c r="AY106" i="112"/>
  <c r="AW106" i="112" s="1"/>
  <c r="AU106" i="112"/>
  <c r="AS106" i="112" s="1"/>
  <c r="AR106" i="112"/>
  <c r="AP106" i="112"/>
  <c r="AN106" i="112"/>
  <c r="AM106" i="112"/>
  <c r="AG106" i="112"/>
  <c r="T106" i="112"/>
  <c r="R106" i="112"/>
  <c r="AU105" i="112"/>
  <c r="AR105" i="112"/>
  <c r="AP105" i="112"/>
  <c r="AN105" i="112"/>
  <c r="AM105" i="112"/>
  <c r="T105" i="112"/>
  <c r="BM104" i="112"/>
  <c r="AW104" i="112"/>
  <c r="AU104" i="112"/>
  <c r="AS104" i="112" s="1"/>
  <c r="AR104" i="112"/>
  <c r="AP104" i="112"/>
  <c r="AN104" i="112"/>
  <c r="AM104" i="112"/>
  <c r="AG104" i="112"/>
  <c r="T104" i="112"/>
  <c r="R104" i="112"/>
  <c r="BM103" i="112"/>
  <c r="AW103" i="112"/>
  <c r="AU103" i="112"/>
  <c r="AS103" i="112" s="1"/>
  <c r="AR103" i="112"/>
  <c r="AQ103" i="112"/>
  <c r="AP103" i="112"/>
  <c r="AN103" i="112"/>
  <c r="AM103" i="112"/>
  <c r="AG103" i="112"/>
  <c r="T103" i="112"/>
  <c r="R103" i="112"/>
  <c r="BM102" i="112"/>
  <c r="AX102" i="112"/>
  <c r="AW102" i="112" s="1"/>
  <c r="AU102" i="112"/>
  <c r="AS102" i="112" s="1"/>
  <c r="AR102" i="112"/>
  <c r="AP102" i="112"/>
  <c r="AN102" i="112"/>
  <c r="AM102" i="112"/>
  <c r="AG102" i="112"/>
  <c r="T102" i="112"/>
  <c r="R102" i="112"/>
  <c r="BM101" i="112"/>
  <c r="AX101" i="112"/>
  <c r="AW101" i="112" s="1"/>
  <c r="AU101" i="112"/>
  <c r="AS101" i="112" s="1"/>
  <c r="AR101" i="112"/>
  <c r="AP101" i="112"/>
  <c r="AN101" i="112"/>
  <c r="AM101" i="112"/>
  <c r="AG101" i="112"/>
  <c r="T101" i="112"/>
  <c r="R101" i="112"/>
  <c r="BM100" i="112"/>
  <c r="AX100" i="112"/>
  <c r="AW100" i="112" s="1"/>
  <c r="AU100" i="112"/>
  <c r="AS100" i="112" s="1"/>
  <c r="AR100" i="112"/>
  <c r="AP100" i="112"/>
  <c r="AN100" i="112"/>
  <c r="AM100" i="112"/>
  <c r="AG100" i="112"/>
  <c r="T100" i="112"/>
  <c r="P100" i="112"/>
  <c r="P75" i="112" s="1"/>
  <c r="BM99" i="112"/>
  <c r="AX99" i="112"/>
  <c r="AW99" i="112" s="1"/>
  <c r="AU99" i="112"/>
  <c r="AS99" i="112" s="1"/>
  <c r="AR99" i="112"/>
  <c r="AP99" i="112"/>
  <c r="AN99" i="112"/>
  <c r="AM99" i="112"/>
  <c r="T99" i="112"/>
  <c r="R99" i="112"/>
  <c r="BM98" i="112"/>
  <c r="AW98" i="112"/>
  <c r="AU98" i="112"/>
  <c r="AS98" i="112" s="1"/>
  <c r="AR98" i="112"/>
  <c r="AQ98" i="112"/>
  <c r="AP98" i="112"/>
  <c r="AN98" i="112"/>
  <c r="AM98" i="112"/>
  <c r="AG98" i="112"/>
  <c r="T98" i="112"/>
  <c r="AW97" i="112"/>
  <c r="AU97" i="112"/>
  <c r="AS97" i="112" s="1"/>
  <c r="AR97" i="112"/>
  <c r="AQ97" i="112"/>
  <c r="AP97" i="112"/>
  <c r="AN97" i="112"/>
  <c r="AM97" i="112"/>
  <c r="AG97" i="112"/>
  <c r="T97" i="112"/>
  <c r="S97" i="112"/>
  <c r="BM96" i="112"/>
  <c r="AW96" i="112"/>
  <c r="AU96" i="112"/>
  <c r="AS96" i="112" s="1"/>
  <c r="AR96" i="112"/>
  <c r="AP96" i="112"/>
  <c r="AN96" i="112"/>
  <c r="AM96" i="112"/>
  <c r="AG96" i="112"/>
  <c r="T96" i="112"/>
  <c r="S96" i="112"/>
  <c r="BM95" i="112"/>
  <c r="AW95" i="112"/>
  <c r="AU95" i="112"/>
  <c r="AS95" i="112" s="1"/>
  <c r="AR95" i="112"/>
  <c r="AP95" i="112"/>
  <c r="AN95" i="112"/>
  <c r="AM95" i="112"/>
  <c r="AG95" i="112"/>
  <c r="T95" i="112"/>
  <c r="BM94" i="112"/>
  <c r="AX94" i="112"/>
  <c r="AW94" i="112" s="1"/>
  <c r="AU94" i="112"/>
  <c r="AS94" i="112" s="1"/>
  <c r="AR94" i="112"/>
  <c r="AP94" i="112"/>
  <c r="AN94" i="112"/>
  <c r="AM94" i="112"/>
  <c r="AG94" i="112"/>
  <c r="T94" i="112"/>
  <c r="R94" i="112"/>
  <c r="BM93" i="112"/>
  <c r="AW93" i="112"/>
  <c r="AU93" i="112"/>
  <c r="AS93" i="112" s="1"/>
  <c r="AR93" i="112"/>
  <c r="AP93" i="112"/>
  <c r="AN93" i="112"/>
  <c r="AM93" i="112"/>
  <c r="AI93" i="112"/>
  <c r="AI75" i="112" s="1"/>
  <c r="AG93" i="112"/>
  <c r="T93" i="112"/>
  <c r="R93" i="112"/>
  <c r="BM92" i="112"/>
  <c r="AW92" i="112"/>
  <c r="AU92" i="112"/>
  <c r="AS92" i="112" s="1"/>
  <c r="AR92" i="112"/>
  <c r="AQ92" i="112"/>
  <c r="AP92" i="112"/>
  <c r="AN92" i="112"/>
  <c r="AM92" i="112"/>
  <c r="AG92" i="112"/>
  <c r="T92" i="112"/>
  <c r="R92" i="112"/>
  <c r="BM91" i="112"/>
  <c r="AW91" i="112"/>
  <c r="AU91" i="112"/>
  <c r="AS91" i="112" s="1"/>
  <c r="AR91" i="112"/>
  <c r="AP91" i="112"/>
  <c r="AN91" i="112"/>
  <c r="AM91" i="112"/>
  <c r="T91" i="112"/>
  <c r="R91" i="112"/>
  <c r="BM90" i="112"/>
  <c r="AW90" i="112"/>
  <c r="AU90" i="112"/>
  <c r="AS90" i="112" s="1"/>
  <c r="AR90" i="112"/>
  <c r="AP90" i="112"/>
  <c r="AN90" i="112"/>
  <c r="AM90" i="112"/>
  <c r="AG90" i="112"/>
  <c r="T90" i="112"/>
  <c r="R90" i="112"/>
  <c r="BM89" i="112"/>
  <c r="AW89" i="112"/>
  <c r="AU89" i="112"/>
  <c r="AS89" i="112" s="1"/>
  <c r="AR89" i="112"/>
  <c r="AP89" i="112"/>
  <c r="AO89" i="112" s="1"/>
  <c r="AN89" i="112"/>
  <c r="AM89" i="112"/>
  <c r="T89" i="112"/>
  <c r="BM88" i="112"/>
  <c r="AY88" i="112"/>
  <c r="AX88" i="112"/>
  <c r="AU88" i="112"/>
  <c r="AR88" i="112"/>
  <c r="AQ88" i="112"/>
  <c r="AP88" i="112"/>
  <c r="AN88" i="112"/>
  <c r="AM88" i="112"/>
  <c r="T88" i="112"/>
  <c r="BM87" i="112"/>
  <c r="AU87" i="112"/>
  <c r="AR87" i="112"/>
  <c r="AP87" i="112"/>
  <c r="AN87" i="112"/>
  <c r="AM87" i="112"/>
  <c r="T87" i="112"/>
  <c r="BM86" i="112"/>
  <c r="AX86" i="112"/>
  <c r="AW86" i="112" s="1"/>
  <c r="AU86" i="112"/>
  <c r="AS86" i="112" s="1"/>
  <c r="AR86" i="112"/>
  <c r="AP86" i="112"/>
  <c r="AN86" i="112"/>
  <c r="AM86" i="112"/>
  <c r="AG86" i="112"/>
  <c r="T86" i="112"/>
  <c r="R86" i="112"/>
  <c r="BM85" i="112"/>
  <c r="AW85" i="112"/>
  <c r="AU85" i="112"/>
  <c r="AS85" i="112" s="1"/>
  <c r="AR85" i="112"/>
  <c r="AP85" i="112"/>
  <c r="AN85" i="112"/>
  <c r="AM85" i="112"/>
  <c r="AG85" i="112"/>
  <c r="T85" i="112"/>
  <c r="R85" i="112"/>
  <c r="BM84" i="112"/>
  <c r="AW84" i="112"/>
  <c r="AU84" i="112"/>
  <c r="AS84" i="112" s="1"/>
  <c r="AR84" i="112"/>
  <c r="AP84" i="112"/>
  <c r="AN84" i="112"/>
  <c r="AM84" i="112"/>
  <c r="AG84" i="112"/>
  <c r="T84" i="112"/>
  <c r="R84" i="112"/>
  <c r="BM83" i="112"/>
  <c r="AX83" i="112"/>
  <c r="AW83" i="112" s="1"/>
  <c r="AU83" i="112"/>
  <c r="AS83" i="112" s="1"/>
  <c r="AR83" i="112"/>
  <c r="AP83" i="112"/>
  <c r="AN83" i="112"/>
  <c r="AM83" i="112"/>
  <c r="AG83" i="112"/>
  <c r="T83" i="112"/>
  <c r="R83" i="112"/>
  <c r="BM82" i="112"/>
  <c r="AW82" i="112"/>
  <c r="AU82" i="112"/>
  <c r="AS82" i="112" s="1"/>
  <c r="AR82" i="112"/>
  <c r="AP82" i="112"/>
  <c r="AN82" i="112"/>
  <c r="AM82" i="112"/>
  <c r="AF82" i="112"/>
  <c r="T82" i="112"/>
  <c r="R82" i="112"/>
  <c r="BD81" i="112"/>
  <c r="BM81" i="112" s="1"/>
  <c r="AX81" i="112"/>
  <c r="AW81" i="112" s="1"/>
  <c r="AU81" i="112"/>
  <c r="AS81" i="112" s="1"/>
  <c r="AR81" i="112"/>
  <c r="AQ81" i="112"/>
  <c r="AP81" i="112"/>
  <c r="AN81" i="112"/>
  <c r="AM81" i="112"/>
  <c r="AG81" i="112"/>
  <c r="T81" i="112"/>
  <c r="R81" i="112"/>
  <c r="BD80" i="112"/>
  <c r="AP80" i="112" s="1"/>
  <c r="AX80" i="112"/>
  <c r="AU80" i="112"/>
  <c r="AS80" i="112" s="1"/>
  <c r="AR80" i="112"/>
  <c r="AQ80" i="112"/>
  <c r="AQ75" i="112" s="1"/>
  <c r="AN80" i="112"/>
  <c r="AM80" i="112"/>
  <c r="AG80" i="112"/>
  <c r="T80" i="112"/>
  <c r="R80" i="112"/>
  <c r="BM79" i="112"/>
  <c r="AX79" i="112"/>
  <c r="AW79" i="112" s="1"/>
  <c r="AU79" i="112"/>
  <c r="AS79" i="112" s="1"/>
  <c r="AR79" i="112"/>
  <c r="AP79" i="112"/>
  <c r="AN79" i="112"/>
  <c r="AM79" i="112"/>
  <c r="AG79" i="112"/>
  <c r="T79" i="112"/>
  <c r="R79" i="112"/>
  <c r="BM78" i="112"/>
  <c r="AW78" i="112"/>
  <c r="AU78" i="112"/>
  <c r="AS78" i="112" s="1"/>
  <c r="AR78" i="112"/>
  <c r="AP78" i="112"/>
  <c r="AN78" i="112"/>
  <c r="AM78" i="112"/>
  <c r="AG78" i="112"/>
  <c r="T78" i="112"/>
  <c r="R78" i="112"/>
  <c r="BM77" i="112"/>
  <c r="AW77" i="112"/>
  <c r="AU77" i="112"/>
  <c r="AS77" i="112" s="1"/>
  <c r="AR77" i="112"/>
  <c r="AP77" i="112"/>
  <c r="AN77" i="112"/>
  <c r="AM77" i="112"/>
  <c r="AG77" i="112"/>
  <c r="T77" i="112"/>
  <c r="R77" i="112"/>
  <c r="BM76" i="112"/>
  <c r="AW76" i="112"/>
  <c r="AU76" i="112"/>
  <c r="AS76" i="112" s="1"/>
  <c r="AR76" i="112"/>
  <c r="AP76" i="112"/>
  <c r="AN76" i="112"/>
  <c r="AM76" i="112"/>
  <c r="AG76" i="112"/>
  <c r="T76" i="112"/>
  <c r="R76" i="112"/>
  <c r="BN75" i="112"/>
  <c r="BL75" i="112"/>
  <c r="BK75" i="112"/>
  <c r="BJ75" i="112"/>
  <c r="BI75" i="112"/>
  <c r="BH75" i="112"/>
  <c r="BG75" i="112"/>
  <c r="BF75" i="112"/>
  <c r="BE75" i="112"/>
  <c r="BC75" i="112"/>
  <c r="BB75" i="112"/>
  <c r="BA75" i="112"/>
  <c r="AZ75" i="112"/>
  <c r="AY75" i="112"/>
  <c r="AV75" i="112"/>
  <c r="AT75" i="112"/>
  <c r="AL75" i="112"/>
  <c r="AH75" i="112"/>
  <c r="AF75" i="112"/>
  <c r="AE75" i="112"/>
  <c r="AD75" i="112"/>
  <c r="AC75" i="112"/>
  <c r="AB75" i="112"/>
  <c r="AA75" i="112"/>
  <c r="Z75" i="112"/>
  <c r="Y75" i="112"/>
  <c r="X75" i="112"/>
  <c r="W75" i="112"/>
  <c r="V75" i="112"/>
  <c r="U75" i="112"/>
  <c r="S75" i="112"/>
  <c r="Q75" i="112"/>
  <c r="O75" i="112"/>
  <c r="N75" i="112"/>
  <c r="M75" i="112"/>
  <c r="L75" i="112"/>
  <c r="K75" i="112"/>
  <c r="J75" i="112"/>
  <c r="I75" i="112"/>
  <c r="H75" i="112"/>
  <c r="G75" i="112"/>
  <c r="F75" i="112"/>
  <c r="BM74" i="112"/>
  <c r="AW74" i="112"/>
  <c r="AU74" i="112"/>
  <c r="AS74" i="112" s="1"/>
  <c r="AR74" i="112"/>
  <c r="AP74" i="112"/>
  <c r="AO74" i="112" s="1"/>
  <c r="AN74" i="112"/>
  <c r="AM74" i="112"/>
  <c r="AG74" i="112"/>
  <c r="T74" i="112"/>
  <c r="BM73" i="112"/>
  <c r="AX73" i="112"/>
  <c r="AW73" i="112" s="1"/>
  <c r="AU73" i="112"/>
  <c r="AS73" i="112" s="1"/>
  <c r="AR73" i="112"/>
  <c r="AP73" i="112"/>
  <c r="AN73" i="112"/>
  <c r="AM73" i="112"/>
  <c r="AK73" i="112" s="1"/>
  <c r="AG73" i="112"/>
  <c r="T73" i="112"/>
  <c r="R73" i="112"/>
  <c r="BM72" i="112"/>
  <c r="AW72" i="112"/>
  <c r="AU72" i="112"/>
  <c r="AS72" i="112" s="1"/>
  <c r="AR72" i="112"/>
  <c r="AP72" i="112"/>
  <c r="AO72" i="112" s="1"/>
  <c r="AN72" i="112"/>
  <c r="AM72" i="112"/>
  <c r="AG72" i="112"/>
  <c r="T72" i="112"/>
  <c r="BG71" i="112"/>
  <c r="BM71" i="112" s="1"/>
  <c r="AW71" i="112"/>
  <c r="AU71" i="112"/>
  <c r="AR71" i="112"/>
  <c r="AQ71" i="112"/>
  <c r="AP71" i="112"/>
  <c r="AN71" i="112"/>
  <c r="AM71" i="112"/>
  <c r="AG71" i="112"/>
  <c r="T71" i="112"/>
  <c r="R71" i="112"/>
  <c r="BM70" i="112"/>
  <c r="AW70" i="112"/>
  <c r="AU70" i="112"/>
  <c r="AT70" i="112"/>
  <c r="AR70" i="112"/>
  <c r="AP70" i="112"/>
  <c r="AN70" i="112"/>
  <c r="AM70" i="112"/>
  <c r="AG70" i="112"/>
  <c r="T70" i="112"/>
  <c r="R70" i="112"/>
  <c r="BM69" i="112"/>
  <c r="AW69" i="112"/>
  <c r="AU69" i="112"/>
  <c r="AS69" i="112" s="1"/>
  <c r="AR69" i="112"/>
  <c r="AP69" i="112"/>
  <c r="AN69" i="112"/>
  <c r="AM69" i="112"/>
  <c r="AG69" i="112"/>
  <c r="T69" i="112"/>
  <c r="R69" i="112"/>
  <c r="BM68" i="112"/>
  <c r="AX68" i="112"/>
  <c r="AW68" i="112" s="1"/>
  <c r="AU68" i="112"/>
  <c r="AS68" i="112" s="1"/>
  <c r="AR68" i="112"/>
  <c r="AP68" i="112"/>
  <c r="AN68" i="112"/>
  <c r="AM68" i="112"/>
  <c r="T68" i="112"/>
  <c r="BM67" i="112"/>
  <c r="AU67" i="112"/>
  <c r="AR67" i="112"/>
  <c r="AQ67" i="112"/>
  <c r="AP67" i="112"/>
  <c r="AN67" i="112"/>
  <c r="AM67" i="112"/>
  <c r="T67" i="112"/>
  <c r="BM66" i="112"/>
  <c r="AW66" i="112"/>
  <c r="AU66" i="112"/>
  <c r="AS66" i="112" s="1"/>
  <c r="AR66" i="112"/>
  <c r="AP66" i="112"/>
  <c r="AN66" i="112"/>
  <c r="AM66" i="112"/>
  <c r="AG66" i="112"/>
  <c r="T66" i="112"/>
  <c r="R66" i="112"/>
  <c r="BM65" i="112"/>
  <c r="AW65" i="112"/>
  <c r="AU65" i="112"/>
  <c r="AT65" i="112"/>
  <c r="AR65" i="112"/>
  <c r="AP65" i="112"/>
  <c r="AN65" i="112"/>
  <c r="AM65" i="112"/>
  <c r="AG65" i="112"/>
  <c r="T65" i="112"/>
  <c r="R65" i="112"/>
  <c r="BM64" i="112"/>
  <c r="AW64" i="112"/>
  <c r="AU64" i="112"/>
  <c r="AS64" i="112" s="1"/>
  <c r="AR64" i="112"/>
  <c r="AP64" i="112"/>
  <c r="AN64" i="112"/>
  <c r="AM64" i="112"/>
  <c r="AG64" i="112"/>
  <c r="T64" i="112"/>
  <c r="R64" i="112"/>
  <c r="BM63" i="112"/>
  <c r="AY63" i="112"/>
  <c r="AX63" i="112"/>
  <c r="AU63" i="112"/>
  <c r="AS63" i="112" s="1"/>
  <c r="AR63" i="112"/>
  <c r="AP63" i="112"/>
  <c r="AN63" i="112"/>
  <c r="AM63" i="112"/>
  <c r="AG63" i="112"/>
  <c r="T63" i="112"/>
  <c r="BM62" i="112"/>
  <c r="AY62" i="112"/>
  <c r="AX62" i="112"/>
  <c r="AU62" i="112"/>
  <c r="AS62" i="112" s="1"/>
  <c r="AR62" i="112"/>
  <c r="AP62" i="112"/>
  <c r="AN62" i="112"/>
  <c r="AM62" i="112"/>
  <c r="AG62" i="112"/>
  <c r="T62" i="112"/>
  <c r="R62" i="112"/>
  <c r="BM61" i="112"/>
  <c r="AX61" i="112"/>
  <c r="AW61" i="112" s="1"/>
  <c r="AU61" i="112"/>
  <c r="AT61" i="112"/>
  <c r="AR61" i="112"/>
  <c r="AP61" i="112"/>
  <c r="AN61" i="112"/>
  <c r="AM61" i="112"/>
  <c r="AG61" i="112"/>
  <c r="T61" i="112"/>
  <c r="BM60" i="112"/>
  <c r="AY60" i="112"/>
  <c r="AX60" i="112"/>
  <c r="AU60" i="112"/>
  <c r="AT60" i="112"/>
  <c r="AR60" i="112"/>
  <c r="AP60" i="112"/>
  <c r="AN60" i="112"/>
  <c r="AM60" i="112"/>
  <c r="AG60" i="112"/>
  <c r="T60" i="112"/>
  <c r="P60" i="112"/>
  <c r="R60" i="112" s="1"/>
  <c r="BM59" i="112"/>
  <c r="AX59" i="112"/>
  <c r="AW59" i="112" s="1"/>
  <c r="AU59" i="112"/>
  <c r="AT59" i="112"/>
  <c r="AR59" i="112"/>
  <c r="AP59" i="112"/>
  <c r="AN59" i="112"/>
  <c r="AK59" i="112" s="1"/>
  <c r="AM59" i="112"/>
  <c r="AG59" i="112"/>
  <c r="T59" i="112"/>
  <c r="R59" i="112"/>
  <c r="BM58" i="112"/>
  <c r="AY58" i="112"/>
  <c r="AX58" i="112"/>
  <c r="AU58" i="112"/>
  <c r="AT58" i="112"/>
  <c r="AR58" i="112"/>
  <c r="AQ58" i="112"/>
  <c r="AP58" i="112"/>
  <c r="AN58" i="112"/>
  <c r="AM58" i="112"/>
  <c r="AG58" i="112"/>
  <c r="T58" i="112"/>
  <c r="R58" i="112"/>
  <c r="BM57" i="112"/>
  <c r="AW57" i="112"/>
  <c r="AU57" i="112"/>
  <c r="AS57" i="112" s="1"/>
  <c r="AR57" i="112"/>
  <c r="AP57" i="112"/>
  <c r="AN57" i="112"/>
  <c r="AM57" i="112"/>
  <c r="AG57" i="112"/>
  <c r="T57" i="112"/>
  <c r="BM56" i="112"/>
  <c r="AW56" i="112"/>
  <c r="AU56" i="112"/>
  <c r="AS56" i="112" s="1"/>
  <c r="AR56" i="112"/>
  <c r="AP56" i="112"/>
  <c r="AN56" i="112"/>
  <c r="AM56" i="112"/>
  <c r="AG56" i="112"/>
  <c r="T56" i="112"/>
  <c r="BM55" i="112"/>
  <c r="AW55" i="112"/>
  <c r="AU55" i="112"/>
  <c r="AS55" i="112" s="1"/>
  <c r="AR55" i="112"/>
  <c r="AP55" i="112"/>
  <c r="AN55" i="112"/>
  <c r="AM55" i="112"/>
  <c r="AG55" i="112"/>
  <c r="T55" i="112"/>
  <c r="Q55" i="112"/>
  <c r="O55" i="112"/>
  <c r="N55" i="112"/>
  <c r="M55" i="112"/>
  <c r="L55" i="112"/>
  <c r="L36" i="112" s="1"/>
  <c r="K55" i="112"/>
  <c r="J55" i="112"/>
  <c r="BM54" i="112"/>
  <c r="AW54" i="112"/>
  <c r="AU54" i="112"/>
  <c r="AT54" i="112"/>
  <c r="AR54" i="112"/>
  <c r="AP54" i="112"/>
  <c r="AN54" i="112"/>
  <c r="AM54" i="112"/>
  <c r="AG54" i="112"/>
  <c r="T54" i="112"/>
  <c r="R54" i="112"/>
  <c r="BM53" i="112"/>
  <c r="AW53" i="112"/>
  <c r="AU53" i="112"/>
  <c r="AT53" i="112"/>
  <c r="AR53" i="112"/>
  <c r="AP53" i="112"/>
  <c r="AN53" i="112"/>
  <c r="AM53" i="112"/>
  <c r="AG53" i="112"/>
  <c r="T53" i="112"/>
  <c r="R53" i="112"/>
  <c r="BM52" i="112"/>
  <c r="AW52" i="112"/>
  <c r="AU52" i="112"/>
  <c r="AS52" i="112" s="1"/>
  <c r="AR52" i="112"/>
  <c r="AP52" i="112"/>
  <c r="AN52" i="112"/>
  <c r="AM52" i="112"/>
  <c r="W52" i="112"/>
  <c r="R52" i="112"/>
  <c r="BM51" i="112"/>
  <c r="AW51" i="112"/>
  <c r="AU51" i="112"/>
  <c r="AS51" i="112" s="1"/>
  <c r="AR51" i="112"/>
  <c r="AP51" i="112"/>
  <c r="AN51" i="112"/>
  <c r="AM51" i="112"/>
  <c r="AG51" i="112"/>
  <c r="T51" i="112"/>
  <c r="R51" i="112"/>
  <c r="BM50" i="112"/>
  <c r="AW50" i="112"/>
  <c r="AU50" i="112"/>
  <c r="AS50" i="112" s="1"/>
  <c r="AR50" i="112"/>
  <c r="AP50" i="112"/>
  <c r="AN50" i="112"/>
  <c r="AM50" i="112"/>
  <c r="AG50" i="112"/>
  <c r="T50" i="112"/>
  <c r="R50" i="112"/>
  <c r="BM49" i="112"/>
  <c r="AW49" i="112"/>
  <c r="AU49" i="112"/>
  <c r="AS49" i="112" s="1"/>
  <c r="AR49" i="112"/>
  <c r="AP49" i="112"/>
  <c r="AN49" i="112"/>
  <c r="AM49" i="112"/>
  <c r="W49" i="112"/>
  <c r="T49" i="112" s="1"/>
  <c r="R49" i="112"/>
  <c r="BM48" i="112"/>
  <c r="AW48" i="112"/>
  <c r="AU48" i="112"/>
  <c r="AS48" i="112" s="1"/>
  <c r="AR48" i="112"/>
  <c r="AP48" i="112"/>
  <c r="AN48" i="112"/>
  <c r="AM48" i="112"/>
  <c r="AG48" i="112"/>
  <c r="T48" i="112"/>
  <c r="R48" i="112"/>
  <c r="BM47" i="112"/>
  <c r="AW47" i="112"/>
  <c r="AU47" i="112"/>
  <c r="AS47" i="112" s="1"/>
  <c r="AR47" i="112"/>
  <c r="AP47" i="112"/>
  <c r="AN47" i="112"/>
  <c r="AM47" i="112"/>
  <c r="AG47" i="112"/>
  <c r="T47" i="112"/>
  <c r="R47" i="112"/>
  <c r="BM46" i="112"/>
  <c r="AY46" i="112"/>
  <c r="AX46" i="112"/>
  <c r="AU46" i="112"/>
  <c r="AS46" i="112" s="1"/>
  <c r="AR46" i="112"/>
  <c r="AQ46" i="112"/>
  <c r="AP46" i="112"/>
  <c r="AN46" i="112"/>
  <c r="AM46" i="112"/>
  <c r="AF46" i="112"/>
  <c r="AG46" i="112" s="1"/>
  <c r="T46" i="112"/>
  <c r="R46" i="112"/>
  <c r="BM45" i="112"/>
  <c r="AY45" i="112"/>
  <c r="AX45" i="112"/>
  <c r="AU45" i="112"/>
  <c r="AS45" i="112" s="1"/>
  <c r="AR45" i="112"/>
  <c r="AQ45" i="112"/>
  <c r="AP45" i="112"/>
  <c r="AN45" i="112"/>
  <c r="AM45" i="112"/>
  <c r="AF45" i="112"/>
  <c r="AC45" i="112"/>
  <c r="T45" i="112" s="1"/>
  <c r="R45" i="112"/>
  <c r="BM44" i="112"/>
  <c r="AY44" i="112"/>
  <c r="AX44" i="112"/>
  <c r="AU44" i="112"/>
  <c r="AS44" i="112" s="1"/>
  <c r="AR44" i="112"/>
  <c r="AQ44" i="112"/>
  <c r="AP44" i="112"/>
  <c r="AN44" i="112"/>
  <c r="AM44" i="112"/>
  <c r="AG44" i="112"/>
  <c r="T44" i="112"/>
  <c r="R44" i="112"/>
  <c r="BM43" i="112"/>
  <c r="AX43" i="112"/>
  <c r="AW43" i="112" s="1"/>
  <c r="AU43" i="112"/>
  <c r="AS43" i="112" s="1"/>
  <c r="AR43" i="112"/>
  <c r="AQ43" i="112"/>
  <c r="AP43" i="112"/>
  <c r="AN43" i="112"/>
  <c r="AM43" i="112"/>
  <c r="AG43" i="112"/>
  <c r="T43" i="112"/>
  <c r="R43" i="112"/>
  <c r="BI42" i="112"/>
  <c r="BM42" i="112" s="1"/>
  <c r="AX42" i="112"/>
  <c r="AW42" i="112" s="1"/>
  <c r="AU42" i="112"/>
  <c r="AS42" i="112" s="1"/>
  <c r="AR42" i="112"/>
  <c r="AQ42" i="112"/>
  <c r="AP42" i="112"/>
  <c r="AN42" i="112"/>
  <c r="AM42" i="112"/>
  <c r="AE42" i="112"/>
  <c r="AE36" i="112" s="1"/>
  <c r="AD42" i="112"/>
  <c r="S42" i="112"/>
  <c r="R42" i="112"/>
  <c r="BM41" i="112"/>
  <c r="AX41" i="112"/>
  <c r="AW41" i="112" s="1"/>
  <c r="AU41" i="112"/>
  <c r="AS41" i="112" s="1"/>
  <c r="AR41" i="112"/>
  <c r="AP41" i="112"/>
  <c r="AN41" i="112"/>
  <c r="AM41" i="112"/>
  <c r="AG41" i="112"/>
  <c r="T41" i="112"/>
  <c r="S41" i="112"/>
  <c r="R41" i="112"/>
  <c r="BM40" i="112"/>
  <c r="AX40" i="112"/>
  <c r="AW40" i="112" s="1"/>
  <c r="AU40" i="112"/>
  <c r="AS40" i="112" s="1"/>
  <c r="AR40" i="112"/>
  <c r="AP40" i="112"/>
  <c r="AN40" i="112"/>
  <c r="AM40" i="112"/>
  <c r="AG40" i="112"/>
  <c r="T40" i="112"/>
  <c r="R40" i="112"/>
  <c r="BM39" i="112"/>
  <c r="BM38" i="112"/>
  <c r="BM37" i="112"/>
  <c r="AW37" i="112"/>
  <c r="AU37" i="112"/>
  <c r="AR37" i="112"/>
  <c r="AP37" i="112"/>
  <c r="AN37" i="112"/>
  <c r="AM37" i="112"/>
  <c r="AG37" i="112"/>
  <c r="T37" i="112"/>
  <c r="Q37" i="112"/>
  <c r="R37" i="112" s="1"/>
  <c r="BN36" i="112"/>
  <c r="BL36" i="112"/>
  <c r="BK36" i="112"/>
  <c r="BJ36" i="112"/>
  <c r="BH36" i="112"/>
  <c r="BG36" i="112"/>
  <c r="BF36" i="112"/>
  <c r="BE36" i="112"/>
  <c r="BD36" i="112"/>
  <c r="BC36" i="112"/>
  <c r="BB36" i="112"/>
  <c r="BA36" i="112"/>
  <c r="AZ36" i="112"/>
  <c r="AV36" i="112"/>
  <c r="AL36" i="112"/>
  <c r="AI36" i="112"/>
  <c r="AH36" i="112"/>
  <c r="AF36" i="112"/>
  <c r="AD36" i="112"/>
  <c r="AB36" i="112"/>
  <c r="AA36" i="112"/>
  <c r="Z36" i="112"/>
  <c r="Z31" i="112" s="1"/>
  <c r="Y36" i="112"/>
  <c r="X36" i="112"/>
  <c r="V36" i="112"/>
  <c r="U36" i="112"/>
  <c r="S36" i="112"/>
  <c r="P36" i="112"/>
  <c r="O36" i="112"/>
  <c r="N36" i="112"/>
  <c r="M36" i="112"/>
  <c r="K36" i="112"/>
  <c r="I36" i="112"/>
  <c r="H36" i="112"/>
  <c r="G36" i="112"/>
  <c r="F36" i="112"/>
  <c r="BD35" i="112"/>
  <c r="BM35" i="112" s="1"/>
  <c r="AY35" i="112"/>
  <c r="AX35" i="112"/>
  <c r="AU35" i="112"/>
  <c r="AT35" i="112"/>
  <c r="AR35" i="112"/>
  <c r="AN35" i="112"/>
  <c r="AM35" i="112"/>
  <c r="AG35" i="112"/>
  <c r="T35" i="112"/>
  <c r="R35" i="112"/>
  <c r="BD34" i="112"/>
  <c r="BM34" i="112" s="1"/>
  <c r="AY34" i="112"/>
  <c r="AX34" i="112"/>
  <c r="AU34" i="112"/>
  <c r="AT34" i="112"/>
  <c r="AR34" i="112"/>
  <c r="AN34" i="112"/>
  <c r="AM34" i="112"/>
  <c r="AM33" i="112" s="1"/>
  <c r="AG34" i="112"/>
  <c r="T34" i="112"/>
  <c r="R34" i="112"/>
  <c r="BN33" i="112"/>
  <c r="BN31" i="112" s="1"/>
  <c r="BL33" i="112"/>
  <c r="BK33" i="112"/>
  <c r="BK31" i="112" s="1"/>
  <c r="BJ33" i="112"/>
  <c r="BJ31" i="112" s="1"/>
  <c r="BI33" i="112"/>
  <c r="BH33" i="112"/>
  <c r="BH31" i="112" s="1"/>
  <c r="BG33" i="112"/>
  <c r="BG31" i="112" s="1"/>
  <c r="BF33" i="112"/>
  <c r="BF31" i="112" s="1"/>
  <c r="BE33" i="112"/>
  <c r="BC33" i="112"/>
  <c r="BB33" i="112"/>
  <c r="BB31" i="112" s="1"/>
  <c r="BA33" i="112"/>
  <c r="AZ33" i="112"/>
  <c r="AV33" i="112"/>
  <c r="AV31" i="112" s="1"/>
  <c r="AQ33" i="112"/>
  <c r="AL33" i="112"/>
  <c r="AL31" i="112" s="1"/>
  <c r="AI33" i="112"/>
  <c r="AH33" i="112"/>
  <c r="AF33" i="112"/>
  <c r="AF31" i="112" s="1"/>
  <c r="AE33" i="112"/>
  <c r="AE31" i="112" s="1"/>
  <c r="AD33" i="112"/>
  <c r="AC33" i="112"/>
  <c r="AB33" i="112"/>
  <c r="AA33" i="112"/>
  <c r="AA31" i="112" s="1"/>
  <c r="Z33" i="112"/>
  <c r="Y33" i="112"/>
  <c r="X33" i="112"/>
  <c r="X32" i="112" s="1"/>
  <c r="W33" i="112"/>
  <c r="V33" i="112"/>
  <c r="U33" i="112"/>
  <c r="S33" i="112"/>
  <c r="Q33" i="112"/>
  <c r="P33" i="112"/>
  <c r="O33" i="112"/>
  <c r="N33" i="112"/>
  <c r="N31" i="112" s="1"/>
  <c r="M33" i="112"/>
  <c r="L33" i="112"/>
  <c r="L31" i="112" s="1"/>
  <c r="K33" i="112"/>
  <c r="J33" i="112"/>
  <c r="I33" i="112"/>
  <c r="I31" i="112" s="1"/>
  <c r="H33" i="112"/>
  <c r="G33" i="112"/>
  <c r="F33" i="112"/>
  <c r="F32" i="112" s="1"/>
  <c r="E33" i="112"/>
  <c r="E32" i="112" s="1"/>
  <c r="D33" i="112"/>
  <c r="D32" i="112" s="1"/>
  <c r="BN32" i="112"/>
  <c r="AE32" i="112"/>
  <c r="U31" i="112"/>
  <c r="K31" i="112"/>
  <c r="D31" i="112"/>
  <c r="BL29" i="112"/>
  <c r="BH29" i="112"/>
  <c r="BG29" i="112"/>
  <c r="AZ29" i="112"/>
  <c r="AY29" i="112"/>
  <c r="AX29" i="112"/>
  <c r="AV29" i="112"/>
  <c r="AU29" i="112"/>
  <c r="AT29" i="112"/>
  <c r="AP29" i="112"/>
  <c r="AN29" i="112"/>
  <c r="AM29" i="112"/>
  <c r="AL29" i="112"/>
  <c r="AI29" i="112"/>
  <c r="AH29" i="112"/>
  <c r="AB29" i="112"/>
  <c r="AA29" i="112"/>
  <c r="Z29" i="112"/>
  <c r="W29" i="112"/>
  <c r="S29" i="112"/>
  <c r="M29" i="112"/>
  <c r="J29" i="112"/>
  <c r="D29" i="112"/>
  <c r="BF28" i="112"/>
  <c r="BE28" i="112"/>
  <c r="AQ28" i="112" s="1"/>
  <c r="AW28" i="112"/>
  <c r="AS28" i="112"/>
  <c r="AK28" i="112"/>
  <c r="AG28" i="112"/>
  <c r="T28" i="112"/>
  <c r="R28" i="112"/>
  <c r="E28" i="112"/>
  <c r="E29" i="112" s="1"/>
  <c r="BM27" i="112"/>
  <c r="AW27" i="112"/>
  <c r="AS27" i="112"/>
  <c r="AO27" i="112"/>
  <c r="AK27" i="112"/>
  <c r="AG27" i="112"/>
  <c r="T27" i="112"/>
  <c r="R27" i="112"/>
  <c r="BM26" i="112"/>
  <c r="AW26" i="112"/>
  <c r="AS26" i="112"/>
  <c r="AO26" i="112"/>
  <c r="AK26" i="112"/>
  <c r="AG26" i="112"/>
  <c r="T26" i="112"/>
  <c r="R26" i="112"/>
  <c r="BK25" i="112"/>
  <c r="BJ25" i="112"/>
  <c r="BF25" i="112"/>
  <c r="BD25" i="112"/>
  <c r="BA25" i="112"/>
  <c r="AW25" i="112"/>
  <c r="AS25" i="112"/>
  <c r="AO25" i="112"/>
  <c r="AK25" i="112"/>
  <c r="AF25" i="112"/>
  <c r="AE25" i="112"/>
  <c r="AC25" i="112"/>
  <c r="X25" i="112"/>
  <c r="V25" i="112"/>
  <c r="U25" i="112"/>
  <c r="Q25" i="112"/>
  <c r="P25" i="112"/>
  <c r="L25" i="112"/>
  <c r="K25" i="112"/>
  <c r="I25" i="112"/>
  <c r="BM24" i="112"/>
  <c r="AW24" i="112"/>
  <c r="AS24" i="112"/>
  <c r="AO24" i="112"/>
  <c r="AK24" i="112"/>
  <c r="AC24" i="112"/>
  <c r="AG24" i="112" s="1"/>
  <c r="L24" i="112"/>
  <c r="K24" i="112"/>
  <c r="BK23" i="112"/>
  <c r="BE23" i="112"/>
  <c r="BE29" i="112" s="1"/>
  <c r="AW23" i="112"/>
  <c r="AS23" i="112"/>
  <c r="AO23" i="112"/>
  <c r="AK23" i="112"/>
  <c r="AD23" i="112"/>
  <c r="AC23" i="112"/>
  <c r="V23" i="112"/>
  <c r="O23" i="112"/>
  <c r="O29" i="112" s="1"/>
  <c r="L23" i="112"/>
  <c r="I23" i="112"/>
  <c r="BJ22" i="112"/>
  <c r="BM22" i="112" s="1"/>
  <c r="AW22" i="112"/>
  <c r="AS22" i="112"/>
  <c r="AO22" i="112"/>
  <c r="AK22" i="112"/>
  <c r="AF22" i="112"/>
  <c r="X22" i="112"/>
  <c r="T22" i="112" s="1"/>
  <c r="R22" i="112"/>
  <c r="BM21" i="112"/>
  <c r="AW21" i="112"/>
  <c r="AS21" i="112"/>
  <c r="AO21" i="112"/>
  <c r="AK21" i="112"/>
  <c r="AD21" i="112"/>
  <c r="T21" i="112" s="1"/>
  <c r="N21" i="112"/>
  <c r="R21" i="112" s="1"/>
  <c r="BI20" i="112"/>
  <c r="BM20" i="112" s="1"/>
  <c r="AW20" i="112"/>
  <c r="AS20" i="112"/>
  <c r="AO20" i="112"/>
  <c r="AK20" i="112"/>
  <c r="AF20" i="112"/>
  <c r="AG20" i="112" s="1"/>
  <c r="T20" i="112"/>
  <c r="Q20" i="112"/>
  <c r="G20" i="112"/>
  <c r="G29" i="112" s="1"/>
  <c r="BM19" i="112"/>
  <c r="AW19" i="112"/>
  <c r="AS19" i="112"/>
  <c r="AO19" i="112"/>
  <c r="AK19" i="112"/>
  <c r="AG19" i="112"/>
  <c r="T19" i="112"/>
  <c r="L19" i="112"/>
  <c r="I19" i="112"/>
  <c r="H19" i="112"/>
  <c r="H29" i="112" s="1"/>
  <c r="BI18" i="112"/>
  <c r="BD18" i="112"/>
  <c r="BB18" i="112"/>
  <c r="BB29" i="112" s="1"/>
  <c r="BA18" i="112"/>
  <c r="AW18" i="112"/>
  <c r="AS18" i="112"/>
  <c r="AO18" i="112"/>
  <c r="AK18" i="112"/>
  <c r="AF18" i="112"/>
  <c r="AE18" i="112"/>
  <c r="AC18" i="112"/>
  <c r="U18" i="112"/>
  <c r="U29" i="112" s="1"/>
  <c r="Q18" i="112"/>
  <c r="F18" i="112"/>
  <c r="F29" i="112" s="1"/>
  <c r="BJ17" i="112"/>
  <c r="BD17" i="112"/>
  <c r="BC17" i="112"/>
  <c r="BC29" i="112" s="1"/>
  <c r="BA17" i="112"/>
  <c r="AW17" i="112"/>
  <c r="AS17" i="112"/>
  <c r="AO17" i="112"/>
  <c r="AK17" i="112"/>
  <c r="AF17" i="112"/>
  <c r="AE17" i="112"/>
  <c r="AC17" i="112"/>
  <c r="Y17" i="112"/>
  <c r="Y29" i="112" s="1"/>
  <c r="Q17" i="112"/>
  <c r="P17" i="112"/>
  <c r="P29" i="112" s="1"/>
  <c r="L17" i="112"/>
  <c r="I17" i="112"/>
  <c r="BM16" i="112"/>
  <c r="AW16" i="112"/>
  <c r="AS16" i="112"/>
  <c r="AO16" i="112"/>
  <c r="AK16" i="112"/>
  <c r="AG16" i="112"/>
  <c r="T16" i="112"/>
  <c r="R16" i="112"/>
  <c r="BM15" i="112"/>
  <c r="AW15" i="112"/>
  <c r="AS15" i="112"/>
  <c r="AO15" i="112"/>
  <c r="AK15" i="112"/>
  <c r="AG15" i="112"/>
  <c r="T15" i="112"/>
  <c r="R15" i="112"/>
  <c r="BI14" i="112"/>
  <c r="BH14" i="112"/>
  <c r="AZ14" i="112"/>
  <c r="AY14" i="112"/>
  <c r="AX14" i="112"/>
  <c r="AU14" i="112"/>
  <c r="AT14" i="112"/>
  <c r="AR14" i="112"/>
  <c r="AQ14" i="112"/>
  <c r="AP14" i="112"/>
  <c r="AN14" i="112"/>
  <c r="AM14" i="112"/>
  <c r="AL14" i="112"/>
  <c r="AI14" i="112"/>
  <c r="AH14" i="112"/>
  <c r="AD14" i="112"/>
  <c r="AB14" i="112"/>
  <c r="S14" i="112"/>
  <c r="M14" i="112"/>
  <c r="J14" i="112"/>
  <c r="G14" i="112"/>
  <c r="F14" i="112"/>
  <c r="E14" i="112"/>
  <c r="D14" i="112"/>
  <c r="BK13" i="112"/>
  <c r="BJ13" i="112"/>
  <c r="BG13" i="112"/>
  <c r="BF13" i="112"/>
  <c r="BE13" i="112"/>
  <c r="BD13" i="112"/>
  <c r="BC13" i="112"/>
  <c r="BA13" i="112"/>
  <c r="AW13" i="112"/>
  <c r="AS13" i="112"/>
  <c r="AO13" i="112"/>
  <c r="AK13" i="112"/>
  <c r="AF13" i="112"/>
  <c r="AE13" i="112"/>
  <c r="AC13" i="112"/>
  <c r="AA13" i="112"/>
  <c r="Z13" i="112"/>
  <c r="Z14" i="112" s="1"/>
  <c r="Y13" i="112"/>
  <c r="X13" i="112"/>
  <c r="W13" i="112"/>
  <c r="V13" i="112"/>
  <c r="U13" i="112"/>
  <c r="T13" i="112" s="1"/>
  <c r="Q13" i="112"/>
  <c r="P13" i="112"/>
  <c r="O13" i="112"/>
  <c r="N13" i="112"/>
  <c r="L13" i="112"/>
  <c r="K13" i="112"/>
  <c r="I13" i="112"/>
  <c r="H13" i="112"/>
  <c r="R13" i="112" s="1"/>
  <c r="BK12" i="112"/>
  <c r="BJ12" i="112"/>
  <c r="BG12" i="112"/>
  <c r="BF12" i="112"/>
  <c r="BE12" i="112"/>
  <c r="BD12" i="112"/>
  <c r="BC12" i="112"/>
  <c r="BA12" i="112"/>
  <c r="BM12" i="112" s="1"/>
  <c r="AW12" i="112"/>
  <c r="AS12" i="112"/>
  <c r="AO12" i="112"/>
  <c r="AK12" i="112"/>
  <c r="AF12" i="112"/>
  <c r="AE12" i="112"/>
  <c r="AC12" i="112"/>
  <c r="AA12" i="112"/>
  <c r="Y12" i="112"/>
  <c r="W12" i="112"/>
  <c r="V12" i="112"/>
  <c r="U12" i="112"/>
  <c r="Q12" i="112"/>
  <c r="P12" i="112"/>
  <c r="O12" i="112"/>
  <c r="N12" i="112"/>
  <c r="L12" i="112"/>
  <c r="K12" i="112"/>
  <c r="I12" i="112"/>
  <c r="H12" i="112"/>
  <c r="BJ11" i="112"/>
  <c r="BG11" i="112"/>
  <c r="BE11" i="112"/>
  <c r="BD11" i="112"/>
  <c r="AW11" i="112"/>
  <c r="AS11" i="112"/>
  <c r="AO11" i="112"/>
  <c r="AK11" i="112"/>
  <c r="AF11" i="112"/>
  <c r="AC11" i="112"/>
  <c r="AA11" i="112"/>
  <c r="W11" i="112"/>
  <c r="V11" i="112"/>
  <c r="Q11" i="112"/>
  <c r="P11" i="112"/>
  <c r="O11" i="112"/>
  <c r="N11" i="112"/>
  <c r="L11" i="112"/>
  <c r="K11" i="112"/>
  <c r="I11" i="112"/>
  <c r="H11" i="112"/>
  <c r="BK10" i="112"/>
  <c r="BJ10" i="112"/>
  <c r="BF10" i="112"/>
  <c r="BE10" i="112"/>
  <c r="BD10" i="112"/>
  <c r="BC10" i="112"/>
  <c r="BA10" i="112"/>
  <c r="AW10" i="112"/>
  <c r="AS10" i="112"/>
  <c r="AO10" i="112"/>
  <c r="AK10" i="112"/>
  <c r="AF10" i="112"/>
  <c r="AE10" i="112"/>
  <c r="AC10" i="112"/>
  <c r="AA10" i="112"/>
  <c r="Y10" i="112"/>
  <c r="X10" i="112"/>
  <c r="W10" i="112"/>
  <c r="V10" i="112"/>
  <c r="U10" i="112"/>
  <c r="Q10" i="112"/>
  <c r="P10" i="112"/>
  <c r="O10" i="112"/>
  <c r="N10" i="112"/>
  <c r="L10" i="112"/>
  <c r="K10" i="112"/>
  <c r="I10" i="112"/>
  <c r="H10" i="112"/>
  <c r="BK9" i="112"/>
  <c r="BG9" i="112"/>
  <c r="BF9" i="112"/>
  <c r="BB9" i="112"/>
  <c r="BA9" i="112"/>
  <c r="AW9" i="112"/>
  <c r="AS9" i="112"/>
  <c r="AO9" i="112"/>
  <c r="AK9" i="112"/>
  <c r="AF9" i="112"/>
  <c r="AC9" i="112"/>
  <c r="AA9" i="112"/>
  <c r="X9" i="112"/>
  <c r="U9" i="112"/>
  <c r="Q9" i="112"/>
  <c r="P9" i="112"/>
  <c r="O9" i="112"/>
  <c r="L9" i="112"/>
  <c r="K9" i="112"/>
  <c r="I9" i="112"/>
  <c r="H9" i="112"/>
  <c r="BC8" i="112"/>
  <c r="BM8" i="112" s="1"/>
  <c r="AW8" i="112"/>
  <c r="AV8" i="112" s="1"/>
  <c r="AO8" i="112"/>
  <c r="AK8" i="112"/>
  <c r="W8" i="112"/>
  <c r="AG8" i="112" s="1"/>
  <c r="P8" i="112"/>
  <c r="I8" i="112"/>
  <c r="H8" i="112"/>
  <c r="BJ7" i="112"/>
  <c r="BF7" i="112"/>
  <c r="AW7" i="112"/>
  <c r="AS7" i="112"/>
  <c r="AO7" i="112"/>
  <c r="AK7" i="112"/>
  <c r="AG7" i="112"/>
  <c r="T7" i="112"/>
  <c r="Q7" i="112"/>
  <c r="I7" i="112"/>
  <c r="H7" i="112"/>
  <c r="BK6" i="112"/>
  <c r="BJ6" i="112"/>
  <c r="BG6" i="112"/>
  <c r="BF6" i="112"/>
  <c r="BE6" i="112"/>
  <c r="BD6" i="112"/>
  <c r="BC6" i="112"/>
  <c r="BA6" i="112"/>
  <c r="AW6" i="112"/>
  <c r="AS6" i="112"/>
  <c r="AO6" i="112"/>
  <c r="AK6" i="112"/>
  <c r="AF6" i="112"/>
  <c r="AC6" i="112"/>
  <c r="AA6" i="112"/>
  <c r="Y6" i="112"/>
  <c r="X6" i="112"/>
  <c r="W6" i="112"/>
  <c r="V6" i="112"/>
  <c r="Q6" i="112"/>
  <c r="P6" i="112"/>
  <c r="O6" i="112"/>
  <c r="N6" i="112"/>
  <c r="L6" i="112"/>
  <c r="K6" i="112"/>
  <c r="I6" i="112"/>
  <c r="H6" i="112"/>
  <c r="BK5" i="112"/>
  <c r="BJ5" i="112"/>
  <c r="BG5" i="112"/>
  <c r="BF5" i="112"/>
  <c r="BE5" i="112"/>
  <c r="BD5" i="112"/>
  <c r="BC5" i="112"/>
  <c r="BA5" i="112"/>
  <c r="AW5" i="112"/>
  <c r="AS5" i="112"/>
  <c r="AO5" i="112"/>
  <c r="AK5" i="112"/>
  <c r="AF5" i="112"/>
  <c r="AE5" i="112"/>
  <c r="AC5" i="112"/>
  <c r="Y5" i="112"/>
  <c r="W5" i="112"/>
  <c r="V5" i="112"/>
  <c r="Q5" i="112"/>
  <c r="P5" i="112"/>
  <c r="O5" i="112"/>
  <c r="N5" i="112"/>
  <c r="L5" i="112"/>
  <c r="K5" i="112"/>
  <c r="I5" i="112"/>
  <c r="H5" i="112"/>
  <c r="BK4" i="112"/>
  <c r="BJ4" i="112"/>
  <c r="BG4" i="112"/>
  <c r="BF4" i="112"/>
  <c r="BE4" i="112"/>
  <c r="BD4" i="112"/>
  <c r="BC4" i="112"/>
  <c r="BA4" i="112"/>
  <c r="AW4" i="112"/>
  <c r="AS4" i="112"/>
  <c r="AO4" i="112"/>
  <c r="AK4" i="112"/>
  <c r="AF4" i="112"/>
  <c r="AE4" i="112"/>
  <c r="AC4" i="112"/>
  <c r="AA4" i="112"/>
  <c r="Y4" i="112"/>
  <c r="X4" i="112"/>
  <c r="W4" i="112"/>
  <c r="V4" i="112"/>
  <c r="Q4" i="112"/>
  <c r="P4" i="112"/>
  <c r="O4" i="112"/>
  <c r="N4" i="112"/>
  <c r="L4" i="112"/>
  <c r="K4" i="112"/>
  <c r="I4" i="112"/>
  <c r="H4" i="112"/>
  <c r="BQ42" i="112" l="1"/>
  <c r="BO42" i="112"/>
  <c r="BP42" i="112"/>
  <c r="BS51" i="112"/>
  <c r="BT51" i="112"/>
  <c r="BQ51" i="112"/>
  <c r="BP51" i="112"/>
  <c r="BR56" i="112"/>
  <c r="BS56" i="112"/>
  <c r="BT56" i="112"/>
  <c r="BP56" i="112"/>
  <c r="BR70" i="112"/>
  <c r="BQ70" i="112"/>
  <c r="BT70" i="112"/>
  <c r="BO70" i="112"/>
  <c r="BS70" i="112"/>
  <c r="BP70" i="112"/>
  <c r="BT82" i="112"/>
  <c r="BQ82" i="112"/>
  <c r="BQ86" i="112"/>
  <c r="BS86" i="112"/>
  <c r="BT86" i="112"/>
  <c r="BO86" i="112"/>
  <c r="BP86" i="112"/>
  <c r="BR101" i="112"/>
  <c r="BS101" i="112"/>
  <c r="BT101" i="112"/>
  <c r="BQ101" i="112"/>
  <c r="BP101" i="112"/>
  <c r="BO101" i="112"/>
  <c r="BR107" i="112"/>
  <c r="BS107" i="112"/>
  <c r="BT107" i="112"/>
  <c r="BP107" i="112"/>
  <c r="BT19" i="112"/>
  <c r="BS19" i="112"/>
  <c r="BT21" i="112"/>
  <c r="BS21" i="112"/>
  <c r="BP21" i="112"/>
  <c r="BQ21" i="112"/>
  <c r="BB32" i="112"/>
  <c r="AY33" i="112"/>
  <c r="U32" i="112"/>
  <c r="BQ40" i="112"/>
  <c r="BS40" i="112"/>
  <c r="BT40" i="112"/>
  <c r="BR47" i="112"/>
  <c r="BT47" i="112"/>
  <c r="BS47" i="112"/>
  <c r="BP47" i="112"/>
  <c r="BQ52" i="112"/>
  <c r="BO52" i="112"/>
  <c r="BP52" i="112"/>
  <c r="BS57" i="112"/>
  <c r="BO57" i="112"/>
  <c r="BQ57" i="112"/>
  <c r="BT57" i="112"/>
  <c r="BP57" i="112"/>
  <c r="BR59" i="112"/>
  <c r="BS59" i="112"/>
  <c r="BO59" i="112"/>
  <c r="BT59" i="112"/>
  <c r="BP59" i="112"/>
  <c r="BO65" i="112"/>
  <c r="BS65" i="112"/>
  <c r="BQ65" i="112"/>
  <c r="BT65" i="112"/>
  <c r="BP65" i="112"/>
  <c r="BR79" i="112"/>
  <c r="BT79" i="112"/>
  <c r="BQ79" i="112"/>
  <c r="BS79" i="112"/>
  <c r="BO79" i="112"/>
  <c r="BP79" i="112"/>
  <c r="BS88" i="112"/>
  <c r="BQ88" i="112"/>
  <c r="BT88" i="112"/>
  <c r="BP88" i="112"/>
  <c r="BQ89" i="112"/>
  <c r="BS89" i="112"/>
  <c r="BT89" i="112"/>
  <c r="BO89" i="112"/>
  <c r="BP89" i="112"/>
  <c r="AO109" i="112"/>
  <c r="T114" i="112"/>
  <c r="AX113" i="112"/>
  <c r="AO116" i="112"/>
  <c r="BR121" i="112"/>
  <c r="BT121" i="112"/>
  <c r="BP121" i="112"/>
  <c r="BP125" i="112"/>
  <c r="BQ125" i="112"/>
  <c r="BT125" i="112"/>
  <c r="BS125" i="112"/>
  <c r="BS20" i="112"/>
  <c r="BT20" i="112"/>
  <c r="BP22" i="112"/>
  <c r="BQ22" i="112"/>
  <c r="BO22" i="112"/>
  <c r="BT26" i="112"/>
  <c r="BS26" i="112"/>
  <c r="BP26" i="112"/>
  <c r="BQ26" i="112"/>
  <c r="BT27" i="112"/>
  <c r="BP27" i="112"/>
  <c r="BS34" i="112"/>
  <c r="BT34" i="112"/>
  <c r="BP34" i="112"/>
  <c r="BT62" i="112"/>
  <c r="BQ62" i="112"/>
  <c r="BS62" i="112"/>
  <c r="BO62" i="112"/>
  <c r="BP62" i="112"/>
  <c r="AO64" i="112"/>
  <c r="BQ83" i="112"/>
  <c r="BS83" i="112"/>
  <c r="BT83" i="112"/>
  <c r="BP83" i="112"/>
  <c r="BO83" i="112"/>
  <c r="BS93" i="112"/>
  <c r="BT93" i="112"/>
  <c r="BQ93" i="112"/>
  <c r="BP93" i="112"/>
  <c r="BO93" i="112"/>
  <c r="BS97" i="112"/>
  <c r="BT97" i="112"/>
  <c r="BR102" i="112"/>
  <c r="BS102" i="112"/>
  <c r="BT102" i="112"/>
  <c r="BQ102" i="112"/>
  <c r="BP102" i="112"/>
  <c r="BO102" i="112"/>
  <c r="BI32" i="112"/>
  <c r="AI31" i="112"/>
  <c r="BQ43" i="112"/>
  <c r="BT43" i="112"/>
  <c r="BP45" i="112"/>
  <c r="BQ45" i="112"/>
  <c r="BS48" i="112"/>
  <c r="BT48" i="112"/>
  <c r="BO48" i="112"/>
  <c r="BP48" i="112"/>
  <c r="BS66" i="112"/>
  <c r="BO66" i="112"/>
  <c r="BT66" i="112"/>
  <c r="BP66" i="112"/>
  <c r="BQ67" i="112"/>
  <c r="BO67" i="112"/>
  <c r="BT67" i="112"/>
  <c r="BP67" i="112"/>
  <c r="BR68" i="112"/>
  <c r="BT68" i="112"/>
  <c r="BS68" i="112"/>
  <c r="BP68" i="112"/>
  <c r="BT71" i="112"/>
  <c r="BQ71" i="112"/>
  <c r="BS71" i="112"/>
  <c r="BP71" i="112"/>
  <c r="BT76" i="112"/>
  <c r="BQ76" i="112"/>
  <c r="BS76" i="112"/>
  <c r="BO76" i="112"/>
  <c r="BP76" i="112"/>
  <c r="BQ90" i="112"/>
  <c r="BS90" i="112"/>
  <c r="BT90" i="112"/>
  <c r="BO90" i="112"/>
  <c r="BP90" i="112"/>
  <c r="BQ98" i="112"/>
  <c r="BS98" i="112"/>
  <c r="BT98" i="112"/>
  <c r="BP98" i="112"/>
  <c r="BO98" i="112"/>
  <c r="AW108" i="112"/>
  <c r="BT115" i="112"/>
  <c r="BP115" i="112"/>
  <c r="BT119" i="112"/>
  <c r="BQ119" i="112"/>
  <c r="BS119" i="112"/>
  <c r="BS123" i="112"/>
  <c r="BQ123" i="112"/>
  <c r="BT123" i="112"/>
  <c r="BP123" i="112"/>
  <c r="BA32" i="112"/>
  <c r="BA31" i="112"/>
  <c r="BP41" i="112"/>
  <c r="BQ41" i="112"/>
  <c r="BS41" i="112"/>
  <c r="BT41" i="112"/>
  <c r="BS49" i="112"/>
  <c r="BT49" i="112"/>
  <c r="BP49" i="112"/>
  <c r="BR53" i="112"/>
  <c r="BT53" i="112"/>
  <c r="BQ53" i="112"/>
  <c r="BS53" i="112"/>
  <c r="BP53" i="112"/>
  <c r="BQ63" i="112"/>
  <c r="BT63" i="112"/>
  <c r="BS63" i="112"/>
  <c r="BO63" i="112"/>
  <c r="BP63" i="112"/>
  <c r="BR72" i="112"/>
  <c r="BT72" i="112"/>
  <c r="BQ72" i="112"/>
  <c r="BP72" i="112"/>
  <c r="BR84" i="112"/>
  <c r="BS84" i="112"/>
  <c r="BT84" i="112"/>
  <c r="BP84" i="112"/>
  <c r="BO84" i="112"/>
  <c r="BR91" i="112"/>
  <c r="BS91" i="112"/>
  <c r="BT91" i="112"/>
  <c r="BP91" i="112"/>
  <c r="BO91" i="112"/>
  <c r="BS94" i="112"/>
  <c r="BT94" i="112"/>
  <c r="BQ94" i="112"/>
  <c r="BP94" i="112"/>
  <c r="BO94" i="112"/>
  <c r="BR99" i="112"/>
  <c r="BQ99" i="112"/>
  <c r="BT99" i="112"/>
  <c r="BS99" i="112"/>
  <c r="BP99" i="112"/>
  <c r="BO99" i="112"/>
  <c r="BP108" i="112"/>
  <c r="BT108" i="112"/>
  <c r="BS108" i="112"/>
  <c r="BQ108" i="112"/>
  <c r="BQ114" i="112"/>
  <c r="BS114" i="112"/>
  <c r="BT114" i="112"/>
  <c r="BP114" i="112"/>
  <c r="BQ127" i="112"/>
  <c r="BT127" i="112"/>
  <c r="BS127" i="112"/>
  <c r="BP127" i="112"/>
  <c r="BT35" i="112"/>
  <c r="BS35" i="112"/>
  <c r="BR37" i="112"/>
  <c r="BS37" i="112"/>
  <c r="BT37" i="112"/>
  <c r="BP37" i="112"/>
  <c r="AX36" i="112"/>
  <c r="BT60" i="112"/>
  <c r="BS60" i="112"/>
  <c r="BQ60" i="112"/>
  <c r="BO60" i="112"/>
  <c r="BP60" i="112"/>
  <c r="BR69" i="112"/>
  <c r="BT69" i="112"/>
  <c r="BS69" i="112"/>
  <c r="BO69" i="112"/>
  <c r="BP69" i="112"/>
  <c r="BT77" i="112"/>
  <c r="BQ77" i="112"/>
  <c r="BS77" i="112"/>
  <c r="BO77" i="112"/>
  <c r="BP77" i="112"/>
  <c r="BT95" i="112"/>
  <c r="BS95" i="112"/>
  <c r="BP95" i="112"/>
  <c r="P31" i="112"/>
  <c r="BS103" i="112"/>
  <c r="BT103" i="112"/>
  <c r="BQ103" i="112"/>
  <c r="BT109" i="112"/>
  <c r="BS109" i="112"/>
  <c r="BP109" i="112"/>
  <c r="BS112" i="112"/>
  <c r="BT112" i="112"/>
  <c r="BQ112" i="112"/>
  <c r="BO112" i="112"/>
  <c r="BP112" i="112"/>
  <c r="BT116" i="112"/>
  <c r="BQ116" i="112"/>
  <c r="BS116" i="112"/>
  <c r="BP116" i="112"/>
  <c r="BS122" i="112"/>
  <c r="BT122" i="112"/>
  <c r="BQ122" i="112"/>
  <c r="BP122" i="112"/>
  <c r="BT128" i="112"/>
  <c r="BQ128" i="112"/>
  <c r="BS128" i="112"/>
  <c r="BP128" i="112"/>
  <c r="BK29" i="112"/>
  <c r="BS24" i="112"/>
  <c r="BT24" i="112"/>
  <c r="BP24" i="112"/>
  <c r="BO24" i="112"/>
  <c r="Y31" i="112"/>
  <c r="AH31" i="112"/>
  <c r="BC31" i="112"/>
  <c r="BT38" i="112"/>
  <c r="BQ38" i="112"/>
  <c r="BP38" i="112"/>
  <c r="BO50" i="112"/>
  <c r="BS50" i="112"/>
  <c r="BT50" i="112"/>
  <c r="BP50" i="112"/>
  <c r="BR58" i="112"/>
  <c r="BO58" i="112"/>
  <c r="BS58" i="112"/>
  <c r="BQ58" i="112"/>
  <c r="BT58" i="112"/>
  <c r="BP58" i="112"/>
  <c r="BS64" i="112"/>
  <c r="BO64" i="112"/>
  <c r="BT64" i="112"/>
  <c r="BP64" i="112"/>
  <c r="BR73" i="112"/>
  <c r="BT73" i="112"/>
  <c r="BQ73" i="112"/>
  <c r="BP73" i="112"/>
  <c r="BT81" i="112"/>
  <c r="BQ81" i="112"/>
  <c r="BS81" i="112"/>
  <c r="BO81" i="112"/>
  <c r="BP81" i="112"/>
  <c r="BQ85" i="112"/>
  <c r="BS85" i="112"/>
  <c r="BT85" i="112"/>
  <c r="BP85" i="112"/>
  <c r="BO85" i="112"/>
  <c r="BR100" i="112"/>
  <c r="BT100" i="112"/>
  <c r="BQ100" i="112"/>
  <c r="BS100" i="112"/>
  <c r="BP100" i="112"/>
  <c r="BO100" i="112"/>
  <c r="BS120" i="112"/>
  <c r="BT120" i="112"/>
  <c r="BQ120" i="112"/>
  <c r="BP120" i="112"/>
  <c r="N32" i="112"/>
  <c r="H31" i="112"/>
  <c r="BE32" i="112"/>
  <c r="BE31" i="112"/>
  <c r="Q36" i="112"/>
  <c r="BI36" i="112"/>
  <c r="BI31" i="112" s="1"/>
  <c r="BT39" i="112"/>
  <c r="BQ39" i="112"/>
  <c r="BP39" i="112"/>
  <c r="BT44" i="112"/>
  <c r="BQ44" i="112"/>
  <c r="BP44" i="112"/>
  <c r="BT46" i="112"/>
  <c r="BS46" i="112"/>
  <c r="BQ46" i="112"/>
  <c r="BO46" i="112"/>
  <c r="BT54" i="112"/>
  <c r="BQ54" i="112"/>
  <c r="BS54" i="112"/>
  <c r="BP54" i="112"/>
  <c r="BR55" i="112"/>
  <c r="BT55" i="112"/>
  <c r="BS55" i="112"/>
  <c r="BP55" i="112"/>
  <c r="BP61" i="112"/>
  <c r="BT61" i="112"/>
  <c r="BS61" i="112"/>
  <c r="BQ61" i="112"/>
  <c r="AO66" i="112"/>
  <c r="BR74" i="112"/>
  <c r="BT74" i="112"/>
  <c r="BS74" i="112"/>
  <c r="BP74" i="112"/>
  <c r="BR78" i="112"/>
  <c r="BS78" i="112"/>
  <c r="BT78" i="112"/>
  <c r="BQ78" i="112"/>
  <c r="BO78" i="112"/>
  <c r="BP78" i="112"/>
  <c r="BT87" i="112"/>
  <c r="BO87" i="112"/>
  <c r="BP87" i="112"/>
  <c r="BT92" i="112"/>
  <c r="BS92" i="112"/>
  <c r="BQ92" i="112"/>
  <c r="BP92" i="112"/>
  <c r="BO92" i="112"/>
  <c r="BQ96" i="112"/>
  <c r="BS96" i="112"/>
  <c r="BT96" i="112"/>
  <c r="BO96" i="112"/>
  <c r="BP96" i="112"/>
  <c r="BR104" i="112"/>
  <c r="BQ104" i="112"/>
  <c r="BT104" i="112"/>
  <c r="BP104" i="112"/>
  <c r="BQ106" i="112"/>
  <c r="BS106" i="112"/>
  <c r="BT106" i="112"/>
  <c r="BO106" i="112"/>
  <c r="BP106" i="112"/>
  <c r="BS110" i="112"/>
  <c r="BT110" i="112"/>
  <c r="BQ110" i="112"/>
  <c r="BP110" i="112"/>
  <c r="BO110" i="112"/>
  <c r="BT124" i="112"/>
  <c r="BQ124" i="112"/>
  <c r="BS124" i="112"/>
  <c r="BP124" i="112"/>
  <c r="BS15" i="112"/>
  <c r="BT15" i="112"/>
  <c r="BQ15" i="112"/>
  <c r="BO15" i="112"/>
  <c r="BP15" i="112"/>
  <c r="BT16" i="112"/>
  <c r="BS8" i="112"/>
  <c r="BT8" i="112"/>
  <c r="BP8" i="112"/>
  <c r="BO8" i="112"/>
  <c r="BR35" i="112"/>
  <c r="BO35" i="112"/>
  <c r="BP35" i="112"/>
  <c r="AZ31" i="112"/>
  <c r="BR103" i="112"/>
  <c r="BP103" i="112"/>
  <c r="BO103" i="112"/>
  <c r="BP82" i="112"/>
  <c r="BO82" i="112"/>
  <c r="BL31" i="112"/>
  <c r="BR40" i="112"/>
  <c r="BP40" i="112"/>
  <c r="BR43" i="112"/>
  <c r="BP43" i="112"/>
  <c r="BP20" i="112"/>
  <c r="BQ20" i="112"/>
  <c r="BO20" i="112"/>
  <c r="BQ16" i="112"/>
  <c r="BP16" i="112"/>
  <c r="BP119" i="112"/>
  <c r="BR46" i="112"/>
  <c r="BP46" i="112"/>
  <c r="BO19" i="112"/>
  <c r="BP19" i="112"/>
  <c r="BQ19" i="112"/>
  <c r="BP12" i="112"/>
  <c r="BO12" i="112"/>
  <c r="X31" i="112"/>
  <c r="O31" i="112"/>
  <c r="AO49" i="112"/>
  <c r="BD75" i="112"/>
  <c r="AO50" i="112"/>
  <c r="AO81" i="112"/>
  <c r="AF32" i="112"/>
  <c r="BF32" i="112"/>
  <c r="R33" i="112"/>
  <c r="AK61" i="112"/>
  <c r="Q29" i="112"/>
  <c r="X29" i="112"/>
  <c r="BJ32" i="112"/>
  <c r="BI29" i="112"/>
  <c r="BM80" i="112"/>
  <c r="R24" i="112"/>
  <c r="AK54" i="112"/>
  <c r="AP113" i="112"/>
  <c r="AO128" i="112"/>
  <c r="AS35" i="112"/>
  <c r="AK47" i="112"/>
  <c r="AJ47" i="112" s="1"/>
  <c r="AS60" i="112"/>
  <c r="AK64" i="112"/>
  <c r="AK98" i="112"/>
  <c r="AU113" i="112"/>
  <c r="E31" i="112"/>
  <c r="AY113" i="112"/>
  <c r="AE29" i="112"/>
  <c r="BM4" i="112"/>
  <c r="AK40" i="112"/>
  <c r="AK94" i="112"/>
  <c r="BR21" i="112"/>
  <c r="AM113" i="112"/>
  <c r="BM5" i="112"/>
  <c r="BR26" i="112"/>
  <c r="BR27" i="112"/>
  <c r="AO94" i="112"/>
  <c r="AG118" i="112"/>
  <c r="BM118" i="112"/>
  <c r="BC113" i="112"/>
  <c r="AW124" i="112"/>
  <c r="AX33" i="112"/>
  <c r="BG14" i="112"/>
  <c r="AK52" i="112"/>
  <c r="AJ52" i="112" s="1"/>
  <c r="AK100" i="112"/>
  <c r="AQ113" i="112"/>
  <c r="I14" i="112"/>
  <c r="K14" i="112"/>
  <c r="X14" i="112"/>
  <c r="AT33" i="112"/>
  <c r="AO52" i="112"/>
  <c r="AS54" i="112"/>
  <c r="AO55" i="112"/>
  <c r="AK57" i="112"/>
  <c r="AO127" i="112"/>
  <c r="AI30" i="112"/>
  <c r="S30" i="112"/>
  <c r="AX30" i="112"/>
  <c r="AB31" i="112"/>
  <c r="G32" i="112"/>
  <c r="BR116" i="112"/>
  <c r="BC14" i="112"/>
  <c r="P14" i="112"/>
  <c r="R19" i="112"/>
  <c r="G30" i="112"/>
  <c r="AB32" i="112"/>
  <c r="AP35" i="112"/>
  <c r="AO35" i="112" s="1"/>
  <c r="AO58" i="112"/>
  <c r="AS61" i="112"/>
  <c r="AO62" i="112"/>
  <c r="R75" i="112"/>
  <c r="AK104" i="112"/>
  <c r="AN118" i="112"/>
  <c r="AK118" i="112" s="1"/>
  <c r="R4" i="112"/>
  <c r="AK14" i="112"/>
  <c r="BF14" i="112"/>
  <c r="AJ6" i="112"/>
  <c r="T8" i="112"/>
  <c r="R9" i="112"/>
  <c r="T11" i="112"/>
  <c r="AJ24" i="112"/>
  <c r="AO47" i="112"/>
  <c r="T75" i="112"/>
  <c r="AO96" i="112"/>
  <c r="AK102" i="112"/>
  <c r="AK106" i="112"/>
  <c r="AW119" i="112"/>
  <c r="AO122" i="112"/>
  <c r="G31" i="112"/>
  <c r="O32" i="112"/>
  <c r="Y32" i="112"/>
  <c r="R113" i="112"/>
  <c r="AG18" i="112"/>
  <c r="AH30" i="112"/>
  <c r="AK71" i="112"/>
  <c r="AO104" i="112"/>
  <c r="AK112" i="112"/>
  <c r="H32" i="112"/>
  <c r="AI32" i="112"/>
  <c r="AO118" i="112"/>
  <c r="BA29" i="112"/>
  <c r="AG22" i="112"/>
  <c r="BT22" i="112" s="1"/>
  <c r="I32" i="112"/>
  <c r="AP34" i="112"/>
  <c r="AO46" i="112"/>
  <c r="AS58" i="112"/>
  <c r="AL32" i="112"/>
  <c r="AO97" i="112"/>
  <c r="AO112" i="112"/>
  <c r="AA14" i="112"/>
  <c r="AA30" i="112" s="1"/>
  <c r="AA129" i="112" s="1"/>
  <c r="BA14" i="112"/>
  <c r="AG11" i="112"/>
  <c r="AG33" i="112"/>
  <c r="AK43" i="112"/>
  <c r="AW58" i="112"/>
  <c r="AK95" i="112"/>
  <c r="AW118" i="112"/>
  <c r="AJ118" i="112" s="1"/>
  <c r="AW122" i="112"/>
  <c r="O14" i="112"/>
  <c r="AG9" i="112"/>
  <c r="AR36" i="112"/>
  <c r="K32" i="112"/>
  <c r="AE14" i="112"/>
  <c r="BJ29" i="112"/>
  <c r="AJ18" i="112"/>
  <c r="AU33" i="112"/>
  <c r="AN33" i="112"/>
  <c r="AK62" i="112"/>
  <c r="AT71" i="112"/>
  <c r="BR93" i="112"/>
  <c r="V32" i="112"/>
  <c r="AD31" i="112"/>
  <c r="AS114" i="112"/>
  <c r="AS113" i="112" s="1"/>
  <c r="AK119" i="112"/>
  <c r="AK123" i="112"/>
  <c r="BR66" i="112"/>
  <c r="AJ17" i="112"/>
  <c r="BO34" i="112"/>
  <c r="BR34" i="112"/>
  <c r="AK41" i="112"/>
  <c r="AO48" i="112"/>
  <c r="BR50" i="112"/>
  <c r="BR76" i="112"/>
  <c r="AK83" i="112"/>
  <c r="BR88" i="112"/>
  <c r="BR89" i="112"/>
  <c r="BR92" i="112"/>
  <c r="BR94" i="112"/>
  <c r="BR98" i="112"/>
  <c r="AO43" i="112"/>
  <c r="AK50" i="112"/>
  <c r="AK56" i="112"/>
  <c r="BR57" i="112"/>
  <c r="AS59" i="112"/>
  <c r="AO60" i="112"/>
  <c r="BR61" i="112"/>
  <c r="AO63" i="112"/>
  <c r="AK70" i="112"/>
  <c r="BR81" i="112"/>
  <c r="AO83" i="112"/>
  <c r="AO85" i="112"/>
  <c r="AK92" i="112"/>
  <c r="BR95" i="112"/>
  <c r="AK97" i="112"/>
  <c r="AK109" i="112"/>
  <c r="AJ109" i="112" s="1"/>
  <c r="BR110" i="112"/>
  <c r="BR115" i="112"/>
  <c r="BR42" i="112"/>
  <c r="BR44" i="112"/>
  <c r="BR64" i="112"/>
  <c r="BR77" i="112"/>
  <c r="BR90" i="112"/>
  <c r="BR114" i="112"/>
  <c r="BR86" i="112"/>
  <c r="AK29" i="112"/>
  <c r="BR48" i="112"/>
  <c r="BR51" i="112"/>
  <c r="BR54" i="112"/>
  <c r="AW62" i="112"/>
  <c r="AJ62" i="112" s="1"/>
  <c r="AJ64" i="112"/>
  <c r="AO86" i="112"/>
  <c r="AO92" i="112"/>
  <c r="BR96" i="112"/>
  <c r="BR120" i="112"/>
  <c r="BR123" i="112"/>
  <c r="AJ128" i="112"/>
  <c r="BR39" i="112"/>
  <c r="BR63" i="112"/>
  <c r="BR67" i="112"/>
  <c r="BR83" i="112"/>
  <c r="AJ13" i="112"/>
  <c r="AP36" i="112"/>
  <c r="AK42" i="112"/>
  <c r="BR52" i="112"/>
  <c r="AO53" i="112"/>
  <c r="BR62" i="112"/>
  <c r="AP75" i="112"/>
  <c r="AK99" i="112"/>
  <c r="AK101" i="112"/>
  <c r="AK107" i="112"/>
  <c r="AK110" i="112"/>
  <c r="BR106" i="112"/>
  <c r="BR109" i="112"/>
  <c r="AS29" i="112"/>
  <c r="BR49" i="112"/>
  <c r="AK51" i="112"/>
  <c r="AS53" i="112"/>
  <c r="AO57" i="112"/>
  <c r="AJ57" i="112" s="1"/>
  <c r="AK58" i="112"/>
  <c r="BR65" i="112"/>
  <c r="AS70" i="112"/>
  <c r="BR71" i="112"/>
  <c r="AK84" i="112"/>
  <c r="AJ84" i="112" s="1"/>
  <c r="BR85" i="112"/>
  <c r="AK90" i="112"/>
  <c r="AK96" i="112"/>
  <c r="AO107" i="112"/>
  <c r="AO110" i="112"/>
  <c r="BR122" i="112"/>
  <c r="AO125" i="112"/>
  <c r="AJ125" i="112" s="1"/>
  <c r="BR45" i="112"/>
  <c r="BR112" i="112"/>
  <c r="BR119" i="112"/>
  <c r="AJ12" i="112"/>
  <c r="AJ19" i="112"/>
  <c r="AJ26" i="112"/>
  <c r="T33" i="112"/>
  <c r="AW34" i="112"/>
  <c r="BR38" i="112"/>
  <c r="BR41" i="112"/>
  <c r="AK45" i="112"/>
  <c r="AO54" i="112"/>
  <c r="AO59" i="112"/>
  <c r="AK69" i="112"/>
  <c r="AK74" i="112"/>
  <c r="AJ74" i="112" s="1"/>
  <c r="AO77" i="112"/>
  <c r="AO84" i="112"/>
  <c r="BR87" i="112"/>
  <c r="BR108" i="112"/>
  <c r="AO123" i="112"/>
  <c r="P32" i="112"/>
  <c r="AG113" i="112"/>
  <c r="Z32" i="112"/>
  <c r="BR125" i="112"/>
  <c r="BC32" i="112"/>
  <c r="AO124" i="112"/>
  <c r="L32" i="112"/>
  <c r="V31" i="112"/>
  <c r="AD32" i="112"/>
  <c r="AV32" i="112"/>
  <c r="BG32" i="112"/>
  <c r="BR124" i="112"/>
  <c r="BR82" i="112"/>
  <c r="BV12" i="112"/>
  <c r="BW12" i="112" s="1"/>
  <c r="BR60" i="112"/>
  <c r="BL32" i="112"/>
  <c r="BN14" i="112"/>
  <c r="BK32" i="112"/>
  <c r="AA32" i="112"/>
  <c r="S32" i="112"/>
  <c r="AJ94" i="112"/>
  <c r="AK89" i="112"/>
  <c r="BM33" i="112"/>
  <c r="BQ8" i="112"/>
  <c r="T4" i="112"/>
  <c r="BK14" i="112"/>
  <c r="BK30" i="112" s="1"/>
  <c r="AC14" i="112"/>
  <c r="T9" i="112"/>
  <c r="R10" i="112"/>
  <c r="U14" i="112"/>
  <c r="U30" i="112" s="1"/>
  <c r="U129" i="112" s="1"/>
  <c r="BM11" i="112"/>
  <c r="T12" i="112"/>
  <c r="F30" i="112"/>
  <c r="T24" i="112"/>
  <c r="Z30" i="112"/>
  <c r="Z129" i="112" s="1"/>
  <c r="AW35" i="112"/>
  <c r="AO40" i="112"/>
  <c r="AK46" i="112"/>
  <c r="AK53" i="112"/>
  <c r="AK63" i="112"/>
  <c r="AO65" i="112"/>
  <c r="AO69" i="112"/>
  <c r="AK78" i="112"/>
  <c r="AK80" i="112"/>
  <c r="R5" i="112"/>
  <c r="AG5" i="112"/>
  <c r="BD14" i="112"/>
  <c r="BM7" i="112"/>
  <c r="AJ10" i="112"/>
  <c r="AW29" i="112"/>
  <c r="T17" i="112"/>
  <c r="AU75" i="112"/>
  <c r="AO106" i="112"/>
  <c r="AJ106" i="112" s="1"/>
  <c r="AO120" i="112"/>
  <c r="W14" i="112"/>
  <c r="I29" i="112"/>
  <c r="R23" i="112"/>
  <c r="AJ23" i="112"/>
  <c r="J30" i="112"/>
  <c r="AP30" i="112"/>
  <c r="M32" i="112"/>
  <c r="AO37" i="112"/>
  <c r="AW44" i="112"/>
  <c r="AK55" i="112"/>
  <c r="AW60" i="112"/>
  <c r="AO61" i="112"/>
  <c r="AJ61" i="112" s="1"/>
  <c r="AS65" i="112"/>
  <c r="AJ65" i="112" s="1"/>
  <c r="AK66" i="112"/>
  <c r="AK68" i="112"/>
  <c r="AO71" i="112"/>
  <c r="AK76" i="112"/>
  <c r="AO80" i="112"/>
  <c r="AK82" i="112"/>
  <c r="AK86" i="112"/>
  <c r="AO90" i="112"/>
  <c r="AJ90" i="112" s="1"/>
  <c r="AK91" i="112"/>
  <c r="AO99" i="112"/>
  <c r="AO101" i="112"/>
  <c r="AO103" i="112"/>
  <c r="R6" i="112"/>
  <c r="AG6" i="112"/>
  <c r="R8" i="112"/>
  <c r="BM9" i="112"/>
  <c r="K29" i="112"/>
  <c r="K30" i="112" s="1"/>
  <c r="K129" i="112" s="1"/>
  <c r="AD29" i="112"/>
  <c r="AD30" i="112" s="1"/>
  <c r="AD129" i="112" s="1"/>
  <c r="AT30" i="112"/>
  <c r="AR75" i="112"/>
  <c r="AJ97" i="112"/>
  <c r="AJ104" i="112"/>
  <c r="AJ112" i="112"/>
  <c r="T113" i="112"/>
  <c r="AJ127" i="112"/>
  <c r="AF14" i="112"/>
  <c r="L14" i="112"/>
  <c r="BN29" i="112"/>
  <c r="BD29" i="112"/>
  <c r="BD33" i="112"/>
  <c r="AO45" i="112"/>
  <c r="AK49" i="112"/>
  <c r="AJ49" i="112" s="1"/>
  <c r="AO51" i="112"/>
  <c r="AK60" i="112"/>
  <c r="AO68" i="112"/>
  <c r="AK72" i="112"/>
  <c r="AO73" i="112"/>
  <c r="AJ73" i="112" s="1"/>
  <c r="BM75" i="112"/>
  <c r="AO76" i="112"/>
  <c r="AG75" i="112"/>
  <c r="AK79" i="112"/>
  <c r="AO82" i="112"/>
  <c r="AO91" i="112"/>
  <c r="AK93" i="112"/>
  <c r="AK121" i="112"/>
  <c r="BJ14" i="112"/>
  <c r="BJ30" i="112" s="1"/>
  <c r="R11" i="112"/>
  <c r="AJ11" i="112"/>
  <c r="R12" i="112"/>
  <c r="F31" i="112"/>
  <c r="AJ43" i="112"/>
  <c r="AK108" i="112"/>
  <c r="AJ108" i="112" s="1"/>
  <c r="AK116" i="112"/>
  <c r="AJ116" i="112" s="1"/>
  <c r="AO121" i="112"/>
  <c r="Q14" i="112"/>
  <c r="BM17" i="112"/>
  <c r="AJ25" i="112"/>
  <c r="BF29" i="112"/>
  <c r="AR33" i="112"/>
  <c r="AR31" i="112" s="1"/>
  <c r="BQ34" i="112"/>
  <c r="AJ40" i="112"/>
  <c r="AO44" i="112"/>
  <c r="AW63" i="112"/>
  <c r="AO70" i="112"/>
  <c r="AN75" i="112"/>
  <c r="AO79" i="112"/>
  <c r="AK81" i="112"/>
  <c r="AJ81" i="112" s="1"/>
  <c r="AK85" i="112"/>
  <c r="AO93" i="112"/>
  <c r="AJ93" i="112" s="1"/>
  <c r="AO95" i="112"/>
  <c r="AJ95" i="112" s="1"/>
  <c r="AO98" i="112"/>
  <c r="AJ98" i="112" s="1"/>
  <c r="AO100" i="112"/>
  <c r="AJ100" i="112" s="1"/>
  <c r="AO102" i="112"/>
  <c r="AK120" i="112"/>
  <c r="AJ120" i="112" s="1"/>
  <c r="AK122" i="112"/>
  <c r="AK124" i="112"/>
  <c r="AJ5" i="112"/>
  <c r="BM6" i="112"/>
  <c r="R7" i="112"/>
  <c r="AJ9" i="112"/>
  <c r="BI30" i="112"/>
  <c r="BR19" i="112"/>
  <c r="AJ21" i="112"/>
  <c r="AJ27" i="112"/>
  <c r="AL30" i="112"/>
  <c r="AS34" i="112"/>
  <c r="AS33" i="112" s="1"/>
  <c r="AO41" i="112"/>
  <c r="AO56" i="112"/>
  <c r="AK65" i="112"/>
  <c r="AX75" i="112"/>
  <c r="AK103" i="112"/>
  <c r="AO108" i="112"/>
  <c r="AO114" i="112"/>
  <c r="AW123" i="112"/>
  <c r="AJ123" i="112" s="1"/>
  <c r="BR20" i="112"/>
  <c r="AV14" i="112"/>
  <c r="AV30" i="112" s="1"/>
  <c r="AS8" i="112"/>
  <c r="AJ8" i="112" s="1"/>
  <c r="BR12" i="112"/>
  <c r="BQ12" i="112"/>
  <c r="O30" i="112"/>
  <c r="O129" i="112" s="1"/>
  <c r="W30" i="112"/>
  <c r="V14" i="112"/>
  <c r="AG4" i="112"/>
  <c r="AG12" i="112"/>
  <c r="BT12" i="112" s="1"/>
  <c r="R17" i="112"/>
  <c r="BC30" i="112"/>
  <c r="AR28" i="112"/>
  <c r="AR29" i="112" s="1"/>
  <c r="AR30" i="112" s="1"/>
  <c r="AG10" i="112"/>
  <c r="AG13" i="112"/>
  <c r="Y14" i="112"/>
  <c r="Y30" i="112" s="1"/>
  <c r="Y129" i="112" s="1"/>
  <c r="BB14" i="112"/>
  <c r="BB30" i="112" s="1"/>
  <c r="BB129" i="112" s="1"/>
  <c r="BR15" i="112"/>
  <c r="L29" i="112"/>
  <c r="AG17" i="112"/>
  <c r="R20" i="112"/>
  <c r="E30" i="112"/>
  <c r="M30" i="112"/>
  <c r="AM30" i="112"/>
  <c r="BG30" i="112"/>
  <c r="AK34" i="112"/>
  <c r="N14" i="112"/>
  <c r="AJ4" i="112"/>
  <c r="BE14" i="112"/>
  <c r="BE30" i="112" s="1"/>
  <c r="BE129" i="112" s="1"/>
  <c r="T6" i="112"/>
  <c r="AJ7" i="112"/>
  <c r="P30" i="112"/>
  <c r="P129" i="112" s="1"/>
  <c r="AJ22" i="112"/>
  <c r="T25" i="112"/>
  <c r="AG25" i="112"/>
  <c r="N29" i="112"/>
  <c r="AB30" i="112"/>
  <c r="AB129" i="112" s="1"/>
  <c r="AN30" i="112"/>
  <c r="BH30" i="112"/>
  <c r="AH32" i="112"/>
  <c r="H14" i="112"/>
  <c r="H30" i="112" s="1"/>
  <c r="H129" i="112" s="1"/>
  <c r="Q30" i="112"/>
  <c r="AG23" i="112"/>
  <c r="T23" i="112"/>
  <c r="AY30" i="112"/>
  <c r="G129" i="112"/>
  <c r="BR22" i="112"/>
  <c r="AZ30" i="112"/>
  <c r="AZ32" i="112"/>
  <c r="BH32" i="112"/>
  <c r="D30" i="112"/>
  <c r="BR8" i="112"/>
  <c r="R18" i="112"/>
  <c r="BM18" i="112"/>
  <c r="R25" i="112"/>
  <c r="BM25" i="112"/>
  <c r="BM28" i="112"/>
  <c r="BL30" i="112"/>
  <c r="S31" i="112"/>
  <c r="S129" i="112" s="1"/>
  <c r="Q32" i="112"/>
  <c r="Q31" i="112"/>
  <c r="AO14" i="112"/>
  <c r="AW14" i="112"/>
  <c r="AJ15" i="112"/>
  <c r="AJ16" i="112"/>
  <c r="BR16" i="112"/>
  <c r="AC29" i="112"/>
  <c r="T18" i="112"/>
  <c r="I30" i="112"/>
  <c r="I129" i="112" s="1"/>
  <c r="AJ20" i="112"/>
  <c r="X30" i="112"/>
  <c r="X129" i="112" s="1"/>
  <c r="BM23" i="112"/>
  <c r="V29" i="112"/>
  <c r="BR24" i="112"/>
  <c r="AQ29" i="112"/>
  <c r="AQ30" i="112" s="1"/>
  <c r="AO28" i="112"/>
  <c r="AO29" i="112" s="1"/>
  <c r="AU30" i="112"/>
  <c r="BM10" i="112"/>
  <c r="T10" i="112"/>
  <c r="BM13" i="112"/>
  <c r="AF29" i="112"/>
  <c r="AO42" i="112"/>
  <c r="AG45" i="112"/>
  <c r="BT45" i="112" s="1"/>
  <c r="T42" i="112"/>
  <c r="AQ36" i="112"/>
  <c r="AQ31" i="112" s="1"/>
  <c r="AW46" i="112"/>
  <c r="AJ46" i="112" s="1"/>
  <c r="W36" i="112"/>
  <c r="AG52" i="112"/>
  <c r="BS52" i="112" s="1"/>
  <c r="T52" i="112"/>
  <c r="AJ55" i="112"/>
  <c r="AK44" i="112"/>
  <c r="AJ66" i="112"/>
  <c r="AS37" i="112"/>
  <c r="AU36" i="112"/>
  <c r="AY36" i="112"/>
  <c r="AY32" i="112" s="1"/>
  <c r="AW45" i="112"/>
  <c r="D129" i="112"/>
  <c r="AC36" i="112"/>
  <c r="AG42" i="112"/>
  <c r="BS42" i="112" s="1"/>
  <c r="AJ59" i="112"/>
  <c r="AJ72" i="112"/>
  <c r="M31" i="112"/>
  <c r="AO34" i="112"/>
  <c r="AK35" i="112"/>
  <c r="AN36" i="112"/>
  <c r="BM36" i="112"/>
  <c r="AK48" i="112"/>
  <c r="AJ50" i="112"/>
  <c r="AJ58" i="112"/>
  <c r="AJ89" i="112"/>
  <c r="AK37" i="112"/>
  <c r="AM36" i="112"/>
  <c r="AM31" i="112" s="1"/>
  <c r="R55" i="112"/>
  <c r="R36" i="112" s="1"/>
  <c r="J36" i="112"/>
  <c r="AJ85" i="112"/>
  <c r="BQ35" i="112"/>
  <c r="AS75" i="112"/>
  <c r="AW80" i="112"/>
  <c r="AK114" i="112"/>
  <c r="AM75" i="112"/>
  <c r="AK77" i="112"/>
  <c r="AW114" i="112"/>
  <c r="AO119" i="112"/>
  <c r="AO78" i="112"/>
  <c r="BS25" i="112" l="1"/>
  <c r="BT25" i="112"/>
  <c r="BT18" i="112"/>
  <c r="BS18" i="112"/>
  <c r="BF30" i="112"/>
  <c r="BF129" i="112" s="1"/>
  <c r="BP33" i="112"/>
  <c r="BS33" i="112"/>
  <c r="BT33" i="112"/>
  <c r="BT23" i="112"/>
  <c r="BS23" i="112"/>
  <c r="AJ78" i="112"/>
  <c r="AC30" i="112"/>
  <c r="BI129" i="112"/>
  <c r="AJ102" i="112"/>
  <c r="F129" i="112"/>
  <c r="AK30" i="112"/>
  <c r="BS22" i="112"/>
  <c r="AN31" i="112"/>
  <c r="BT118" i="112"/>
  <c r="BQ118" i="112"/>
  <c r="BS118" i="112"/>
  <c r="BT80" i="112"/>
  <c r="BQ80" i="112"/>
  <c r="BS80" i="112"/>
  <c r="BO80" i="112"/>
  <c r="BP80" i="112"/>
  <c r="BP75" i="112" s="1"/>
  <c r="BT52" i="112"/>
  <c r="BS17" i="112"/>
  <c r="BT17" i="112"/>
  <c r="V30" i="112"/>
  <c r="BS28" i="112"/>
  <c r="BT28" i="112"/>
  <c r="BP28" i="112"/>
  <c r="BQ28" i="112"/>
  <c r="AJ41" i="112"/>
  <c r="BR80" i="112"/>
  <c r="AU31" i="112"/>
  <c r="AY31" i="112"/>
  <c r="BS45" i="112"/>
  <c r="BT42" i="112"/>
  <c r="BD32" i="112"/>
  <c r="BD31" i="112"/>
  <c r="BD129" i="112" s="1"/>
  <c r="AE30" i="112"/>
  <c r="AE129" i="112" s="1"/>
  <c r="BP36" i="112"/>
  <c r="BS75" i="112"/>
  <c r="BT75" i="112"/>
  <c r="BQ75" i="112"/>
  <c r="BQ36" i="112"/>
  <c r="AJ54" i="112"/>
  <c r="AJ96" i="112"/>
  <c r="AJ110" i="112"/>
  <c r="AX31" i="112"/>
  <c r="BD30" i="112"/>
  <c r="BR7" i="112"/>
  <c r="BS7" i="112"/>
  <c r="BT7" i="112"/>
  <c r="BT11" i="112"/>
  <c r="BS11" i="112"/>
  <c r="BT5" i="112"/>
  <c r="BS5" i="112"/>
  <c r="BS12" i="112"/>
  <c r="BT13" i="112"/>
  <c r="BS13" i="112"/>
  <c r="BS6" i="112"/>
  <c r="BT6" i="112"/>
  <c r="BT10" i="112"/>
  <c r="BS10" i="112"/>
  <c r="BT9" i="112"/>
  <c r="BS9" i="112"/>
  <c r="BT4" i="112"/>
  <c r="BS4" i="112"/>
  <c r="BO75" i="112"/>
  <c r="BV75" i="112"/>
  <c r="BM113" i="112"/>
  <c r="BP118" i="112"/>
  <c r="BR118" i="112"/>
  <c r="BP113" i="112"/>
  <c r="BM31" i="112"/>
  <c r="BM32" i="112"/>
  <c r="BO36" i="112"/>
  <c r="BQ18" i="112"/>
  <c r="BO18" i="112"/>
  <c r="BP18" i="112"/>
  <c r="BP11" i="112"/>
  <c r="BO11" i="112"/>
  <c r="BO9" i="112"/>
  <c r="BP9" i="112"/>
  <c r="BO6" i="112"/>
  <c r="BP6" i="112"/>
  <c r="BO5" i="112"/>
  <c r="BP5" i="112"/>
  <c r="BQ5" i="112"/>
  <c r="BR5" i="112"/>
  <c r="BO17" i="112"/>
  <c r="BP17" i="112"/>
  <c r="BQ17" i="112"/>
  <c r="BQ25" i="112"/>
  <c r="BO25" i="112"/>
  <c r="BP25" i="112"/>
  <c r="BP13" i="112"/>
  <c r="BO13" i="112"/>
  <c r="BP10" i="112"/>
  <c r="BO10" i="112"/>
  <c r="BR4" i="112"/>
  <c r="BP4" i="112"/>
  <c r="BQ4" i="112"/>
  <c r="BO4" i="112"/>
  <c r="BO23" i="112"/>
  <c r="BP23" i="112"/>
  <c r="BQ23" i="112"/>
  <c r="BP7" i="112"/>
  <c r="E129" i="112"/>
  <c r="AK113" i="112"/>
  <c r="AF30" i="112"/>
  <c r="AF129" i="112" s="1"/>
  <c r="AJ48" i="112"/>
  <c r="AJ92" i="112"/>
  <c r="AJ119" i="112"/>
  <c r="BK129" i="112"/>
  <c r="AW113" i="112"/>
  <c r="AH129" i="112"/>
  <c r="AJ103" i="112"/>
  <c r="AJ51" i="112"/>
  <c r="BG129" i="112"/>
  <c r="BA30" i="112"/>
  <c r="R14" i="112"/>
  <c r="AJ79" i="112"/>
  <c r="AJ83" i="112"/>
  <c r="AJ63" i="112"/>
  <c r="BV11" i="112"/>
  <c r="BW11" i="112" s="1"/>
  <c r="AJ53" i="112"/>
  <c r="AI129" i="112"/>
  <c r="AN113" i="112"/>
  <c r="AN32" i="112" s="1"/>
  <c r="BR113" i="112"/>
  <c r="AO113" i="112"/>
  <c r="AJ99" i="112"/>
  <c r="N30" i="112"/>
  <c r="N129" i="112" s="1"/>
  <c r="AO30" i="112"/>
  <c r="V129" i="112"/>
  <c r="BJ129" i="112"/>
  <c r="AZ129" i="112"/>
  <c r="AL129" i="112"/>
  <c r="BC129" i="112"/>
  <c r="AJ122" i="112"/>
  <c r="AW33" i="112"/>
  <c r="AJ86" i="112"/>
  <c r="AO33" i="112"/>
  <c r="AS14" i="112"/>
  <c r="AS30" i="112" s="1"/>
  <c r="AM129" i="112"/>
  <c r="BH129" i="112"/>
  <c r="L30" i="112"/>
  <c r="L129" i="112" s="1"/>
  <c r="AJ101" i="112"/>
  <c r="AP33" i="112"/>
  <c r="AS71" i="112"/>
  <c r="AS36" i="112" s="1"/>
  <c r="AS31" i="112" s="1"/>
  <c r="AT36" i="112"/>
  <c r="AT31" i="112" s="1"/>
  <c r="AQ129" i="112"/>
  <c r="AJ80" i="112"/>
  <c r="AJ44" i="112"/>
  <c r="AJ124" i="112"/>
  <c r="BR36" i="112"/>
  <c r="AJ35" i="112"/>
  <c r="T29" i="112"/>
  <c r="BV9" i="112"/>
  <c r="BW9" i="112" s="1"/>
  <c r="AJ77" i="112"/>
  <c r="AJ56" i="112"/>
  <c r="AJ121" i="112"/>
  <c r="AJ82" i="112"/>
  <c r="AU129" i="112"/>
  <c r="AR32" i="112"/>
  <c r="AG36" i="112"/>
  <c r="AG31" i="112" s="1"/>
  <c r="AJ42" i="112"/>
  <c r="AJ70" i="112"/>
  <c r="AK75" i="112"/>
  <c r="AJ69" i="112"/>
  <c r="T36" i="112"/>
  <c r="T31" i="112" s="1"/>
  <c r="AJ107" i="112"/>
  <c r="BR11" i="112"/>
  <c r="BR6" i="112"/>
  <c r="BV6" i="112"/>
  <c r="BW6" i="112" s="1"/>
  <c r="BQ11" i="112"/>
  <c r="AJ60" i="112"/>
  <c r="BR33" i="112"/>
  <c r="BQ9" i="112"/>
  <c r="BR9" i="112"/>
  <c r="BN30" i="112"/>
  <c r="BN129" i="112" s="1"/>
  <c r="BL129" i="112"/>
  <c r="BR17" i="112"/>
  <c r="AR129" i="112"/>
  <c r="AX32" i="112"/>
  <c r="BR75" i="112"/>
  <c r="BA129" i="112"/>
  <c r="BM29" i="112"/>
  <c r="M129" i="112"/>
  <c r="AW75" i="112"/>
  <c r="BO33" i="112"/>
  <c r="T14" i="112"/>
  <c r="AJ91" i="112"/>
  <c r="BQ33" i="112"/>
  <c r="AM32" i="112"/>
  <c r="AJ76" i="112"/>
  <c r="AO36" i="112"/>
  <c r="AG14" i="112"/>
  <c r="AW36" i="112"/>
  <c r="AW30" i="112"/>
  <c r="AJ45" i="112"/>
  <c r="AG29" i="112"/>
  <c r="R29" i="112"/>
  <c r="BQ6" i="112"/>
  <c r="AY129" i="112"/>
  <c r="AU32" i="112"/>
  <c r="AJ68" i="112"/>
  <c r="R31" i="112"/>
  <c r="R32" i="112"/>
  <c r="AQ32" i="112"/>
  <c r="AO75" i="112"/>
  <c r="W31" i="112"/>
  <c r="W129" i="112" s="1"/>
  <c r="W32" i="112"/>
  <c r="BR13" i="112"/>
  <c r="BQ13" i="112"/>
  <c r="Q129" i="112"/>
  <c r="AJ37" i="112"/>
  <c r="AK36" i="112"/>
  <c r="BR23" i="112"/>
  <c r="BR25" i="112"/>
  <c r="AJ34" i="112"/>
  <c r="AK33" i="112"/>
  <c r="AX129" i="112"/>
  <c r="AC32" i="112"/>
  <c r="AC31" i="112"/>
  <c r="BR10" i="112"/>
  <c r="BQ10" i="112"/>
  <c r="AJ14" i="112"/>
  <c r="AJ28" i="112"/>
  <c r="AJ29" i="112" s="1"/>
  <c r="J32" i="112"/>
  <c r="J31" i="112"/>
  <c r="J129" i="112" s="1"/>
  <c r="BR28" i="112"/>
  <c r="BR18" i="112"/>
  <c r="BM14" i="112"/>
  <c r="AJ114" i="112"/>
  <c r="AV129" i="112"/>
  <c r="AC129" i="112" l="1"/>
  <c r="BP31" i="112"/>
  <c r="BS36" i="112"/>
  <c r="AK31" i="112"/>
  <c r="BT31" i="112"/>
  <c r="BS31" i="112"/>
  <c r="AO31" i="112"/>
  <c r="AO129" i="112" s="1"/>
  <c r="BO113" i="112"/>
  <c r="BS113" i="112"/>
  <c r="BT113" i="112"/>
  <c r="BQ113" i="112"/>
  <c r="AP32" i="112"/>
  <c r="AP31" i="112"/>
  <c r="AP129" i="112" s="1"/>
  <c r="BS32" i="112"/>
  <c r="BT32" i="112"/>
  <c r="BT36" i="112"/>
  <c r="BS29" i="112"/>
  <c r="BT29" i="112"/>
  <c r="BP29" i="112"/>
  <c r="BS14" i="112"/>
  <c r="BT14" i="112"/>
  <c r="AW31" i="112"/>
  <c r="BR31" i="112"/>
  <c r="BP32" i="112"/>
  <c r="BQ29" i="112"/>
  <c r="BO29" i="112"/>
  <c r="BP14" i="112"/>
  <c r="BO14" i="112"/>
  <c r="AN129" i="112"/>
  <c r="AJ113" i="112"/>
  <c r="R30" i="112"/>
  <c r="R129" i="112" s="1"/>
  <c r="AJ71" i="112"/>
  <c r="AJ33" i="112"/>
  <c r="T30" i="112"/>
  <c r="T129" i="112" s="1"/>
  <c r="AS129" i="112"/>
  <c r="AS32" i="112"/>
  <c r="AG32" i="112"/>
  <c r="BV14" i="112"/>
  <c r="BV30" i="112" s="1"/>
  <c r="AT32" i="112"/>
  <c r="AT129" i="112"/>
  <c r="AJ30" i="112"/>
  <c r="AJ75" i="112"/>
  <c r="AG30" i="112"/>
  <c r="AG129" i="112" s="1"/>
  <c r="BW14" i="112"/>
  <c r="BW30" i="112" s="1"/>
  <c r="AW32" i="112"/>
  <c r="BR29" i="112"/>
  <c r="AJ36" i="112"/>
  <c r="BR32" i="112"/>
  <c r="AW129" i="112"/>
  <c r="AO32" i="112"/>
  <c r="T32" i="112"/>
  <c r="BQ31" i="112"/>
  <c r="BO31" i="112"/>
  <c r="BR14" i="112"/>
  <c r="BQ14" i="112"/>
  <c r="BO32" i="112"/>
  <c r="BQ32" i="112"/>
  <c r="AK32" i="112"/>
  <c r="AK129" i="112"/>
  <c r="BM30" i="112"/>
  <c r="BM129" i="112" l="1"/>
  <c r="BT30" i="112"/>
  <c r="BS30" i="112"/>
  <c r="AJ31" i="112"/>
  <c r="AJ129" i="112" s="1"/>
  <c r="AJ32" i="112"/>
  <c r="BR30" i="112"/>
  <c r="BR129" i="112" s="1"/>
  <c r="BQ30" i="112"/>
  <c r="BP30" i="112"/>
  <c r="BP129" i="112" s="1"/>
  <c r="BO30" i="112"/>
  <c r="BO129" i="112" l="1"/>
  <c r="BT129" i="112"/>
  <c r="BS129" i="112"/>
  <c r="BQ129" i="112"/>
  <c r="E32" i="110" l="1"/>
  <c r="G39" i="110"/>
  <c r="G38" i="110"/>
  <c r="B32" i="110"/>
  <c r="G37" i="110"/>
  <c r="G35" i="110"/>
  <c r="G34" i="110"/>
  <c r="I25" i="110" l="1"/>
  <c r="I6" i="110"/>
  <c r="J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16" i="110"/>
  <c r="G7" i="110"/>
  <c r="G8" i="110"/>
  <c r="G9" i="110"/>
  <c r="G10" i="110"/>
  <c r="G11" i="110"/>
  <c r="G12" i="110"/>
  <c r="G13" i="110"/>
  <c r="G14" i="110"/>
  <c r="G6" i="110"/>
  <c r="F21" i="110"/>
  <c r="F13" i="110"/>
  <c r="H61" i="110" l="1"/>
  <c r="I61" i="110" s="1"/>
  <c r="D59" i="110"/>
  <c r="G58" i="110"/>
  <c r="F58" i="110"/>
  <c r="E58" i="110"/>
  <c r="D58" i="110"/>
  <c r="C58" i="110"/>
  <c r="B58" i="110"/>
  <c r="H57" i="110"/>
  <c r="J57" i="110" s="1"/>
  <c r="J56" i="110"/>
  <c r="H56" i="110"/>
  <c r="I56" i="110" s="1"/>
  <c r="H55" i="110"/>
  <c r="J55" i="110" s="1"/>
  <c r="H54" i="110"/>
  <c r="J54" i="110" s="1"/>
  <c r="I53" i="110"/>
  <c r="H53" i="110"/>
  <c r="J53" i="110" s="1"/>
  <c r="J52" i="110"/>
  <c r="I52" i="110"/>
  <c r="H52" i="110"/>
  <c r="J51" i="110"/>
  <c r="I51" i="110"/>
  <c r="H51" i="110"/>
  <c r="J50" i="110"/>
  <c r="H50" i="110"/>
  <c r="I50" i="110" s="1"/>
  <c r="H49" i="110"/>
  <c r="J49" i="110" s="1"/>
  <c r="J48" i="110"/>
  <c r="H48" i="110"/>
  <c r="I48" i="110" s="1"/>
  <c r="H47" i="110"/>
  <c r="J47" i="110" s="1"/>
  <c r="J42" i="110"/>
  <c r="I42" i="110"/>
  <c r="I41" i="110"/>
  <c r="J39" i="110"/>
  <c r="I39" i="110"/>
  <c r="J38" i="110"/>
  <c r="I38" i="110"/>
  <c r="J37" i="110"/>
  <c r="I37" i="110"/>
  <c r="I36" i="110"/>
  <c r="J35" i="110"/>
  <c r="I35" i="110"/>
  <c r="J34" i="110"/>
  <c r="I34" i="110"/>
  <c r="H33" i="110"/>
  <c r="G33" i="110"/>
  <c r="F33" i="110"/>
  <c r="F32" i="110" s="1"/>
  <c r="E33" i="110"/>
  <c r="D33" i="110"/>
  <c r="D32" i="110" s="1"/>
  <c r="C33" i="110"/>
  <c r="B33" i="110"/>
  <c r="C32" i="110"/>
  <c r="H30" i="110"/>
  <c r="J30" i="110" s="1"/>
  <c r="F30" i="110"/>
  <c r="D30" i="110"/>
  <c r="J28" i="110"/>
  <c r="I28" i="110"/>
  <c r="I27" i="110"/>
  <c r="J25" i="110"/>
  <c r="J24" i="110"/>
  <c r="I24" i="110"/>
  <c r="J23" i="110"/>
  <c r="I23" i="110"/>
  <c r="J22" i="110"/>
  <c r="I22" i="110"/>
  <c r="I21" i="110"/>
  <c r="E21" i="110"/>
  <c r="E30" i="110" s="1"/>
  <c r="D21" i="110"/>
  <c r="J21" i="110" s="1"/>
  <c r="C21" i="110"/>
  <c r="C30" i="110" s="1"/>
  <c r="C31" i="110" s="1"/>
  <c r="B21" i="110"/>
  <c r="B30" i="110" s="1"/>
  <c r="B31" i="110" s="1"/>
  <c r="I20" i="110"/>
  <c r="J19" i="110"/>
  <c r="I19" i="110"/>
  <c r="J18" i="110"/>
  <c r="I18" i="110"/>
  <c r="I17" i="110"/>
  <c r="J16" i="110"/>
  <c r="I16" i="110"/>
  <c r="F15" i="110"/>
  <c r="C15" i="110"/>
  <c r="J14" i="110"/>
  <c r="I14" i="110"/>
  <c r="H13" i="110"/>
  <c r="H15" i="110" s="1"/>
  <c r="E13" i="110"/>
  <c r="E15" i="110" s="1"/>
  <c r="D13" i="110"/>
  <c r="J13" i="110" s="1"/>
  <c r="C13" i="110"/>
  <c r="B13" i="110"/>
  <c r="B15" i="110" s="1"/>
  <c r="J12" i="110"/>
  <c r="I12" i="110"/>
  <c r="J11" i="110"/>
  <c r="I11" i="110"/>
  <c r="J10" i="110"/>
  <c r="I10" i="110"/>
  <c r="I9" i="110"/>
  <c r="J8" i="110"/>
  <c r="I8" i="110"/>
  <c r="J7" i="110"/>
  <c r="I7" i="110"/>
  <c r="C45" i="110" l="1"/>
  <c r="C59" i="110" s="1"/>
  <c r="C60" i="110" s="1"/>
  <c r="C63" i="110" s="1"/>
  <c r="I33" i="110"/>
  <c r="J33" i="110"/>
  <c r="F31" i="110"/>
  <c r="F45" i="110" s="1"/>
  <c r="F59" i="110" s="1"/>
  <c r="F60" i="110" s="1"/>
  <c r="F63" i="110" s="1"/>
  <c r="I30" i="110"/>
  <c r="G30" i="110"/>
  <c r="H31" i="110"/>
  <c r="G15" i="110"/>
  <c r="E31" i="110"/>
  <c r="E45" i="110" s="1"/>
  <c r="E59" i="110" s="1"/>
  <c r="E60" i="110" s="1"/>
  <c r="E63" i="110" s="1"/>
  <c r="B45" i="110"/>
  <c r="B59" i="110" s="1"/>
  <c r="B60" i="110" s="1"/>
  <c r="B63" i="110" s="1"/>
  <c r="I54" i="110"/>
  <c r="I49" i="110"/>
  <c r="I57" i="110"/>
  <c r="H58" i="110"/>
  <c r="D15" i="110"/>
  <c r="J15" i="110" s="1"/>
  <c r="I13" i="110"/>
  <c r="I47" i="110"/>
  <c r="I55" i="110"/>
  <c r="G31" i="110" l="1"/>
  <c r="I58" i="110"/>
  <c r="J58" i="110"/>
  <c r="J31" i="110"/>
  <c r="D31" i="110"/>
  <c r="D45" i="110" s="1"/>
  <c r="I15" i="110"/>
  <c r="D65" i="110" l="1"/>
  <c r="D63" i="110"/>
  <c r="I31" i="110"/>
  <c r="BA12" i="83" l="1"/>
  <c r="BB12" i="83"/>
  <c r="BC12" i="83"/>
  <c r="BD12" i="83"/>
  <c r="BE12" i="83"/>
  <c r="BF12" i="83"/>
  <c r="BF14" i="83" s="1"/>
  <c r="BG12" i="83"/>
  <c r="AZ12" i="83"/>
  <c r="BN6" i="83"/>
  <c r="BN7" i="83"/>
  <c r="BN9" i="83"/>
  <c r="BN10" i="83"/>
  <c r="BN11" i="83"/>
  <c r="BN12" i="83"/>
  <c r="BA8" i="83"/>
  <c r="BB8" i="83"/>
  <c r="BC8" i="83"/>
  <c r="BD8" i="83"/>
  <c r="BF8" i="83"/>
  <c r="BG8" i="83"/>
  <c r="BH8" i="83"/>
  <c r="BI8" i="83"/>
  <c r="BK8" i="83"/>
  <c r="BO8" i="83"/>
  <c r="BP8" i="83"/>
  <c r="BQ8" i="83"/>
  <c r="BR8" i="83"/>
  <c r="BS8" i="83"/>
  <c r="BT8" i="83"/>
  <c r="BU8" i="83"/>
  <c r="BV8" i="83"/>
  <c r="BW8" i="83"/>
  <c r="BX8" i="83"/>
  <c r="BY8" i="83"/>
  <c r="BZ8" i="83"/>
  <c r="CA8" i="83"/>
  <c r="CB8" i="83"/>
  <c r="AZ8" i="83"/>
  <c r="AZ14" i="83" l="1"/>
  <c r="BG14" i="83"/>
  <c r="BD14" i="83"/>
  <c r="BC14" i="83"/>
  <c r="BB14" i="83"/>
  <c r="BA14" i="83"/>
  <c r="N11" i="10" l="1"/>
  <c r="C34" i="22" l="1"/>
  <c r="N32" i="22"/>
  <c r="N33" i="22"/>
  <c r="J32" i="22"/>
  <c r="J33" i="22"/>
  <c r="F32" i="22"/>
  <c r="F33" i="22"/>
  <c r="B32" i="22"/>
  <c r="B33" i="22"/>
  <c r="T34" i="22"/>
  <c r="S34" i="22"/>
  <c r="Q34" i="22"/>
  <c r="Q35" i="22" s="1"/>
  <c r="P34" i="22"/>
  <c r="O34" i="22"/>
  <c r="O35" i="22" s="1"/>
  <c r="M34" i="22"/>
  <c r="M35" i="22" s="1"/>
  <c r="L34" i="22"/>
  <c r="K34" i="22"/>
  <c r="K35" i="22" s="1"/>
  <c r="I34" i="22"/>
  <c r="I35" i="22" s="1"/>
  <c r="H34" i="22"/>
  <c r="G34" i="22"/>
  <c r="G35" i="22" s="1"/>
  <c r="E34" i="22"/>
  <c r="D34" i="22"/>
  <c r="N31" i="22"/>
  <c r="J31" i="22"/>
  <c r="F31" i="22"/>
  <c r="B31" i="22"/>
  <c r="B34" i="22" s="1"/>
  <c r="N30" i="22"/>
  <c r="N34" i="22" s="1"/>
  <c r="J30" i="22"/>
  <c r="F30" i="22"/>
  <c r="B30" i="22"/>
  <c r="N29" i="22"/>
  <c r="J29" i="22"/>
  <c r="F29" i="22"/>
  <c r="B29" i="22"/>
  <c r="R29" i="22" s="1"/>
  <c r="N28" i="22"/>
  <c r="J28" i="22"/>
  <c r="F28" i="22"/>
  <c r="B28" i="22"/>
  <c r="R28" i="22" s="1"/>
  <c r="N27" i="22"/>
  <c r="J27" i="22"/>
  <c r="F27" i="22"/>
  <c r="B27" i="22"/>
  <c r="R27" i="22" s="1"/>
  <c r="R26" i="22"/>
  <c r="N25" i="22"/>
  <c r="J25" i="22"/>
  <c r="F25" i="22"/>
  <c r="B25" i="22"/>
  <c r="R25" i="22" s="1"/>
  <c r="N24" i="22"/>
  <c r="J24" i="22"/>
  <c r="F24" i="22"/>
  <c r="B24" i="22"/>
  <c r="R24" i="22" s="1"/>
  <c r="N23" i="22"/>
  <c r="J23" i="22"/>
  <c r="F23" i="22"/>
  <c r="B23" i="22"/>
  <c r="R23" i="22" s="1"/>
  <c r="S22" i="22"/>
  <c r="Q22" i="22"/>
  <c r="O22" i="22"/>
  <c r="M22" i="22"/>
  <c r="K22" i="22"/>
  <c r="I22" i="22"/>
  <c r="G22" i="22"/>
  <c r="E22" i="22"/>
  <c r="C22" i="22"/>
  <c r="C35" i="22" s="1"/>
  <c r="N21" i="22"/>
  <c r="J21" i="22"/>
  <c r="F21" i="22"/>
  <c r="B21" i="22"/>
  <c r="N20" i="22"/>
  <c r="J20" i="22"/>
  <c r="F20" i="22"/>
  <c r="B20" i="22"/>
  <c r="Q19" i="22"/>
  <c r="P19" i="22"/>
  <c r="P22" i="22" s="1"/>
  <c r="O19" i="22"/>
  <c r="N19" i="22"/>
  <c r="M19" i="22"/>
  <c r="L19" i="22"/>
  <c r="L22" i="22" s="1"/>
  <c r="L35" i="22" s="1"/>
  <c r="K19" i="22"/>
  <c r="J19" i="22"/>
  <c r="I19" i="22"/>
  <c r="H19" i="22"/>
  <c r="H22" i="22" s="1"/>
  <c r="H35" i="22" s="1"/>
  <c r="G19" i="22"/>
  <c r="F19" i="22"/>
  <c r="E19" i="22"/>
  <c r="D19" i="22"/>
  <c r="D22" i="22" s="1"/>
  <c r="D35" i="22" s="1"/>
  <c r="C19" i="22"/>
  <c r="B19" i="22"/>
  <c r="R19" i="22" s="1"/>
  <c r="N18" i="22"/>
  <c r="J18" i="22"/>
  <c r="F18" i="22"/>
  <c r="B18" i="22"/>
  <c r="T17" i="22"/>
  <c r="T22" i="22" s="1"/>
  <c r="T35" i="22" s="1"/>
  <c r="S17" i="22"/>
  <c r="N17" i="22"/>
  <c r="J17" i="22"/>
  <c r="F17" i="22"/>
  <c r="B17" i="22"/>
  <c r="N16" i="22"/>
  <c r="J16" i="22"/>
  <c r="F16" i="22"/>
  <c r="B16" i="22"/>
  <c r="N15" i="22"/>
  <c r="J15" i="22"/>
  <c r="F15" i="22"/>
  <c r="B15" i="22"/>
  <c r="N14" i="22"/>
  <c r="J14" i="22"/>
  <c r="F14" i="22"/>
  <c r="B14" i="22"/>
  <c r="N13" i="22"/>
  <c r="J13" i="22"/>
  <c r="F13" i="22"/>
  <c r="B13" i="22"/>
  <c r="N12" i="22"/>
  <c r="J12" i="22"/>
  <c r="F12" i="22"/>
  <c r="B12" i="22"/>
  <c r="Q11" i="22"/>
  <c r="P11" i="22"/>
  <c r="N11" i="22" s="1"/>
  <c r="O11" i="22"/>
  <c r="M11" i="22"/>
  <c r="L11" i="22"/>
  <c r="J11" i="22" s="1"/>
  <c r="K11" i="22"/>
  <c r="I11" i="22"/>
  <c r="H11" i="22"/>
  <c r="F11" i="22" s="1"/>
  <c r="G11" i="22"/>
  <c r="E11" i="22"/>
  <c r="D11" i="22"/>
  <c r="B11" i="22" s="1"/>
  <c r="C11" i="22"/>
  <c r="N10" i="22"/>
  <c r="J10" i="22"/>
  <c r="F10" i="22"/>
  <c r="B10" i="22"/>
  <c r="N9" i="22"/>
  <c r="J9" i="22"/>
  <c r="F9" i="22"/>
  <c r="B9" i="22"/>
  <c r="N8" i="22"/>
  <c r="J8" i="22"/>
  <c r="F8" i="22"/>
  <c r="B8" i="22"/>
  <c r="N7" i="22"/>
  <c r="J7" i="22"/>
  <c r="F7" i="22"/>
  <c r="F4" i="22" s="1"/>
  <c r="F22" i="22" s="1"/>
  <c r="B7" i="22"/>
  <c r="N6" i="22"/>
  <c r="J6" i="22"/>
  <c r="F6" i="22"/>
  <c r="B6" i="22"/>
  <c r="R6" i="22" s="1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B4" i="22" s="1"/>
  <c r="N4" i="22"/>
  <c r="AZ15" i="83"/>
  <c r="BM5" i="83"/>
  <c r="BM8" i="83" s="1"/>
  <c r="BL5" i="83"/>
  <c r="BL8" i="83" s="1"/>
  <c r="R120" i="99"/>
  <c r="AF119" i="99"/>
  <c r="R119" i="99"/>
  <c r="AF118" i="99"/>
  <c r="R118" i="99"/>
  <c r="D118" i="99"/>
  <c r="AF117" i="99"/>
  <c r="R117" i="99"/>
  <c r="AF116" i="99"/>
  <c r="S116" i="99"/>
  <c r="R116" i="99"/>
  <c r="AF115" i="99"/>
  <c r="R115" i="99"/>
  <c r="AF114" i="99"/>
  <c r="R114" i="99"/>
  <c r="AF113" i="99"/>
  <c r="R113" i="99"/>
  <c r="AF112" i="99"/>
  <c r="P112" i="99"/>
  <c r="P108" i="99" s="1"/>
  <c r="AB111" i="99"/>
  <c r="AF111" i="99" s="1"/>
  <c r="R111" i="99"/>
  <c r="AF110" i="99"/>
  <c r="R110" i="99"/>
  <c r="X109" i="99"/>
  <c r="X108" i="99" s="1"/>
  <c r="R109" i="99"/>
  <c r="AE108" i="99"/>
  <c r="AD108" i="99"/>
  <c r="AC108" i="99"/>
  <c r="AA108" i="99"/>
  <c r="Z108" i="99"/>
  <c r="Y108" i="99"/>
  <c r="W108" i="99"/>
  <c r="V108" i="99"/>
  <c r="U108" i="99"/>
  <c r="T108" i="99"/>
  <c r="S108" i="99"/>
  <c r="Q108" i="99"/>
  <c r="O108" i="99"/>
  <c r="N108" i="99"/>
  <c r="M108" i="99"/>
  <c r="L108" i="99"/>
  <c r="K108" i="99"/>
  <c r="J108" i="99"/>
  <c r="I108" i="99"/>
  <c r="H108" i="99"/>
  <c r="G108" i="99"/>
  <c r="F108" i="99"/>
  <c r="AF107" i="99"/>
  <c r="R107" i="99"/>
  <c r="AF106" i="99"/>
  <c r="AF105" i="99"/>
  <c r="S105" i="99"/>
  <c r="AF104" i="99"/>
  <c r="S104" i="99"/>
  <c r="AF103" i="99"/>
  <c r="AF102" i="99"/>
  <c r="R102" i="99"/>
  <c r="AF101" i="99"/>
  <c r="R101" i="99"/>
  <c r="AF100" i="99"/>
  <c r="R100" i="99"/>
  <c r="R99" i="99"/>
  <c r="AF98" i="99"/>
  <c r="R98" i="99"/>
  <c r="AF97" i="99"/>
  <c r="R97" i="99"/>
  <c r="AF96" i="99"/>
  <c r="AF95" i="99"/>
  <c r="AF94" i="99"/>
  <c r="R94" i="99"/>
  <c r="AF93" i="99"/>
  <c r="AF92" i="99"/>
  <c r="R92" i="99"/>
  <c r="AF91" i="99"/>
  <c r="R91" i="99"/>
  <c r="AF90" i="99"/>
  <c r="R90" i="99"/>
  <c r="AF89" i="99"/>
  <c r="P89" i="99"/>
  <c r="P73" i="99" s="1"/>
  <c r="AF88" i="99"/>
  <c r="R88" i="99"/>
  <c r="AF87" i="99"/>
  <c r="R87" i="99"/>
  <c r="R86" i="99"/>
  <c r="AF85" i="99"/>
  <c r="R85" i="99"/>
  <c r="AF84" i="99"/>
  <c r="R84" i="99"/>
  <c r="AF83" i="99"/>
  <c r="R83" i="99"/>
  <c r="AF82" i="99"/>
  <c r="R82" i="99"/>
  <c r="AF81" i="99"/>
  <c r="R81" i="99"/>
  <c r="AF80" i="99"/>
  <c r="R80" i="99"/>
  <c r="AF79" i="99"/>
  <c r="R79" i="99"/>
  <c r="AF78" i="99"/>
  <c r="R78" i="99"/>
  <c r="AF77" i="99"/>
  <c r="R77" i="99"/>
  <c r="AF76" i="99"/>
  <c r="R76" i="99"/>
  <c r="AF75" i="99"/>
  <c r="R75" i="99"/>
  <c r="AF74" i="99"/>
  <c r="R74" i="99"/>
  <c r="AE73" i="99"/>
  <c r="AD73" i="99"/>
  <c r="AC73" i="99"/>
  <c r="AB73" i="99"/>
  <c r="AA73" i="99"/>
  <c r="Z73" i="99"/>
  <c r="Y73" i="99"/>
  <c r="X73" i="99"/>
  <c r="W73" i="99"/>
  <c r="V73" i="99"/>
  <c r="U73" i="99"/>
  <c r="T73" i="99"/>
  <c r="Q73" i="99"/>
  <c r="O73" i="99"/>
  <c r="N73" i="99"/>
  <c r="M73" i="99"/>
  <c r="L73" i="99"/>
  <c r="K73" i="99"/>
  <c r="J73" i="99"/>
  <c r="I73" i="99"/>
  <c r="H73" i="99"/>
  <c r="G73" i="99"/>
  <c r="F73" i="99"/>
  <c r="AF72" i="99"/>
  <c r="AF71" i="99"/>
  <c r="R71" i="99"/>
  <c r="AF70" i="99"/>
  <c r="AF69" i="99"/>
  <c r="R69" i="99"/>
  <c r="AF68" i="99"/>
  <c r="R68" i="99"/>
  <c r="AF67" i="99"/>
  <c r="R67" i="99"/>
  <c r="AF65" i="99"/>
  <c r="R65" i="99"/>
  <c r="AF64" i="99"/>
  <c r="R64" i="99"/>
  <c r="AF63" i="99"/>
  <c r="R63" i="99"/>
  <c r="AF62" i="99"/>
  <c r="AF61" i="99"/>
  <c r="R61" i="99"/>
  <c r="AF60" i="99"/>
  <c r="AF59" i="99"/>
  <c r="P59" i="99"/>
  <c r="R59" i="99" s="1"/>
  <c r="AF58" i="99"/>
  <c r="R58" i="99"/>
  <c r="AF57" i="99"/>
  <c r="R57" i="99"/>
  <c r="AF56" i="99"/>
  <c r="AF55" i="99"/>
  <c r="AF54" i="99"/>
  <c r="Q54" i="99"/>
  <c r="O54" i="99"/>
  <c r="O37" i="99" s="1"/>
  <c r="N54" i="99"/>
  <c r="M54" i="99"/>
  <c r="M37" i="99" s="1"/>
  <c r="L54" i="99"/>
  <c r="L37" i="99" s="1"/>
  <c r="K54" i="99"/>
  <c r="J54" i="99"/>
  <c r="AF53" i="99"/>
  <c r="R53" i="99"/>
  <c r="AF52" i="99"/>
  <c r="R52" i="99"/>
  <c r="V51" i="99"/>
  <c r="AF51" i="99" s="1"/>
  <c r="R51" i="99"/>
  <c r="AF50" i="99"/>
  <c r="R50" i="99"/>
  <c r="AF49" i="99"/>
  <c r="R49" i="99"/>
  <c r="V48" i="99"/>
  <c r="R48" i="99"/>
  <c r="AF47" i="99"/>
  <c r="R47" i="99"/>
  <c r="AF46" i="99"/>
  <c r="R46" i="99"/>
  <c r="AE45" i="99"/>
  <c r="AF45" i="99" s="1"/>
  <c r="R45" i="99"/>
  <c r="AE44" i="99"/>
  <c r="AE37" i="99" s="1"/>
  <c r="AE33" i="99" s="1"/>
  <c r="AB44" i="99"/>
  <c r="R44" i="99"/>
  <c r="AF43" i="99"/>
  <c r="R43" i="99"/>
  <c r="AF42" i="99"/>
  <c r="R42" i="99"/>
  <c r="AD41" i="99"/>
  <c r="AC41" i="99"/>
  <c r="S41" i="99"/>
  <c r="R41" i="99"/>
  <c r="AF40" i="99"/>
  <c r="S40" i="99"/>
  <c r="S37" i="99" s="1"/>
  <c r="R40" i="99"/>
  <c r="AF39" i="99"/>
  <c r="R39" i="99"/>
  <c r="AF38" i="99"/>
  <c r="Q38" i="99"/>
  <c r="R38" i="99" s="1"/>
  <c r="AC37" i="99"/>
  <c r="AA37" i="99"/>
  <c r="Z37" i="99"/>
  <c r="Y37" i="99"/>
  <c r="X37" i="99"/>
  <c r="W37" i="99"/>
  <c r="W33" i="99" s="1"/>
  <c r="U37" i="99"/>
  <c r="U33" i="99" s="1"/>
  <c r="T37" i="99"/>
  <c r="P37" i="99"/>
  <c r="N37" i="99"/>
  <c r="J37" i="99"/>
  <c r="J33" i="99" s="1"/>
  <c r="I37" i="99"/>
  <c r="H37" i="99"/>
  <c r="H33" i="99" s="1"/>
  <c r="G37" i="99"/>
  <c r="F37" i="99"/>
  <c r="F33" i="99" s="1"/>
  <c r="AF36" i="99"/>
  <c r="R36" i="99"/>
  <c r="AF35" i="99"/>
  <c r="R35" i="99"/>
  <c r="AE34" i="99"/>
  <c r="AD34" i="99"/>
  <c r="AC34" i="99"/>
  <c r="AB34" i="99"/>
  <c r="AA34" i="99"/>
  <c r="Z34" i="99"/>
  <c r="Z32" i="99" s="1"/>
  <c r="Y34" i="99"/>
  <c r="Y33" i="99" s="1"/>
  <c r="X34" i="99"/>
  <c r="X32" i="99" s="1"/>
  <c r="W34" i="99"/>
  <c r="V34" i="99"/>
  <c r="U34" i="99"/>
  <c r="T34" i="99"/>
  <c r="S34" i="99"/>
  <c r="Q34" i="99"/>
  <c r="P34" i="99"/>
  <c r="O34" i="99"/>
  <c r="N34" i="99"/>
  <c r="M34" i="99"/>
  <c r="L34" i="99"/>
  <c r="K34" i="99"/>
  <c r="J34" i="99"/>
  <c r="I34" i="99"/>
  <c r="I33" i="99" s="1"/>
  <c r="H34" i="99"/>
  <c r="G34" i="99"/>
  <c r="G33" i="99" s="1"/>
  <c r="F34" i="99"/>
  <c r="E34" i="99"/>
  <c r="E33" i="99" s="1"/>
  <c r="D34" i="99"/>
  <c r="D32" i="99" s="1"/>
  <c r="AC33" i="99"/>
  <c r="N33" i="99"/>
  <c r="D33" i="99"/>
  <c r="W32" i="99"/>
  <c r="H32" i="99"/>
  <c r="AA30" i="99"/>
  <c r="Z30" i="99"/>
  <c r="Y30" i="99"/>
  <c r="V30" i="99"/>
  <c r="S30" i="99"/>
  <c r="M30" i="99"/>
  <c r="J30" i="99"/>
  <c r="H30" i="99"/>
  <c r="D30" i="99"/>
  <c r="AF29" i="99"/>
  <c r="R29" i="99"/>
  <c r="AF28" i="99"/>
  <c r="R28" i="99"/>
  <c r="E28" i="99"/>
  <c r="E30" i="99" s="1"/>
  <c r="AF27" i="99"/>
  <c r="R27" i="99"/>
  <c r="AF26" i="99"/>
  <c r="R26" i="99"/>
  <c r="AE25" i="99"/>
  <c r="AD25" i="99"/>
  <c r="AB25" i="99"/>
  <c r="W25" i="99"/>
  <c r="U25" i="99"/>
  <c r="T25" i="99"/>
  <c r="Q25" i="99"/>
  <c r="P25" i="99"/>
  <c r="L25" i="99"/>
  <c r="K25" i="99"/>
  <c r="I25" i="99"/>
  <c r="AF24" i="99"/>
  <c r="AB24" i="99"/>
  <c r="L24" i="99"/>
  <c r="K24" i="99"/>
  <c r="AC23" i="99"/>
  <c r="AB23" i="99"/>
  <c r="U23" i="99"/>
  <c r="U30" i="99" s="1"/>
  <c r="O23" i="99"/>
  <c r="O30" i="99" s="1"/>
  <c r="L23" i="99"/>
  <c r="I23" i="99"/>
  <c r="AE22" i="99"/>
  <c r="W22" i="99"/>
  <c r="R22" i="99"/>
  <c r="AC21" i="99"/>
  <c r="N21" i="99"/>
  <c r="N30" i="99" s="1"/>
  <c r="AE20" i="99"/>
  <c r="AF20" i="99" s="1"/>
  <c r="Q20" i="99"/>
  <c r="G20" i="99"/>
  <c r="AF19" i="99"/>
  <c r="L19" i="99"/>
  <c r="I19" i="99"/>
  <c r="I30" i="99" s="1"/>
  <c r="H19" i="99"/>
  <c r="AE18" i="99"/>
  <c r="AD18" i="99"/>
  <c r="AB18" i="99"/>
  <c r="T18" i="99"/>
  <c r="Q18" i="99"/>
  <c r="F18" i="99"/>
  <c r="F30" i="99" s="1"/>
  <c r="AE17" i="99"/>
  <c r="AE30" i="99" s="1"/>
  <c r="AD17" i="99"/>
  <c r="AB17" i="99"/>
  <c r="X17" i="99"/>
  <c r="X30" i="99" s="1"/>
  <c r="Q17" i="99"/>
  <c r="P17" i="99"/>
  <c r="L17" i="99"/>
  <c r="L30" i="99" s="1"/>
  <c r="I17" i="99"/>
  <c r="AF16" i="99"/>
  <c r="R16" i="99"/>
  <c r="AF15" i="99"/>
  <c r="R15" i="99"/>
  <c r="AC14" i="99"/>
  <c r="AA14" i="99"/>
  <c r="S14" i="99"/>
  <c r="M14" i="99"/>
  <c r="M31" i="99" s="1"/>
  <c r="J14" i="99"/>
  <c r="J31" i="99" s="1"/>
  <c r="G14" i="99"/>
  <c r="F14" i="99"/>
  <c r="E14" i="99"/>
  <c r="D14" i="99"/>
  <c r="AE13" i="99"/>
  <c r="AD13" i="99"/>
  <c r="AB13" i="99"/>
  <c r="Z13" i="99"/>
  <c r="Y13" i="99"/>
  <c r="Y14" i="99" s="1"/>
  <c r="X13" i="99"/>
  <c r="W13" i="99"/>
  <c r="V13" i="99"/>
  <c r="U13" i="99"/>
  <c r="T13" i="99"/>
  <c r="Q13" i="99"/>
  <c r="P13" i="99"/>
  <c r="O13" i="99"/>
  <c r="N13" i="99"/>
  <c r="L13" i="99"/>
  <c r="K13" i="99"/>
  <c r="I13" i="99"/>
  <c r="H13" i="99"/>
  <c r="AE12" i="99"/>
  <c r="AD12" i="99"/>
  <c r="AB12" i="99"/>
  <c r="Z12" i="99"/>
  <c r="X12" i="99"/>
  <c r="V12" i="99"/>
  <c r="U12" i="99"/>
  <c r="T12" i="99"/>
  <c r="Q12" i="99"/>
  <c r="P12" i="99"/>
  <c r="O12" i="99"/>
  <c r="N12" i="99"/>
  <c r="L12" i="99"/>
  <c r="K12" i="99"/>
  <c r="I12" i="99"/>
  <c r="H12" i="99"/>
  <c r="AE11" i="99"/>
  <c r="AB11" i="99"/>
  <c r="Z11" i="99"/>
  <c r="V11" i="99"/>
  <c r="U11" i="99"/>
  <c r="Q11" i="99"/>
  <c r="P11" i="99"/>
  <c r="O11" i="99"/>
  <c r="N11" i="99"/>
  <c r="L11" i="99"/>
  <c r="K11" i="99"/>
  <c r="I11" i="99"/>
  <c r="H11" i="99"/>
  <c r="AE10" i="99"/>
  <c r="AD10" i="99"/>
  <c r="AB10" i="99"/>
  <c r="Z10" i="99"/>
  <c r="X10" i="99"/>
  <c r="W10" i="99"/>
  <c r="V10" i="99"/>
  <c r="U10" i="99"/>
  <c r="T10" i="99"/>
  <c r="Q10" i="99"/>
  <c r="P10" i="99"/>
  <c r="O10" i="99"/>
  <c r="N10" i="99"/>
  <c r="L10" i="99"/>
  <c r="K10" i="99"/>
  <c r="I10" i="99"/>
  <c r="H10" i="99"/>
  <c r="AE9" i="99"/>
  <c r="AB9" i="99"/>
  <c r="Z9" i="99"/>
  <c r="W9" i="99"/>
  <c r="T9" i="99"/>
  <c r="Q9" i="99"/>
  <c r="P9" i="99"/>
  <c r="O9" i="99"/>
  <c r="L9" i="99"/>
  <c r="K9" i="99"/>
  <c r="I9" i="99"/>
  <c r="H9" i="99"/>
  <c r="V8" i="99"/>
  <c r="AF8" i="99" s="1"/>
  <c r="P8" i="99"/>
  <c r="I8" i="99"/>
  <c r="H8" i="99"/>
  <c r="AF7" i="99"/>
  <c r="Q7" i="99"/>
  <c r="I7" i="99"/>
  <c r="R7" i="99" s="1"/>
  <c r="H7" i="99"/>
  <c r="AE6" i="99"/>
  <c r="AB6" i="99"/>
  <c r="Z6" i="99"/>
  <c r="X6" i="99"/>
  <c r="W6" i="99"/>
  <c r="V6" i="99"/>
  <c r="U6" i="99"/>
  <c r="Q6" i="99"/>
  <c r="P6" i="99"/>
  <c r="O6" i="99"/>
  <c r="N6" i="99"/>
  <c r="L6" i="99"/>
  <c r="K6" i="99"/>
  <c r="I6" i="99"/>
  <c r="H6" i="99"/>
  <c r="AE5" i="99"/>
  <c r="AD5" i="99"/>
  <c r="AB5" i="99"/>
  <c r="X5" i="99"/>
  <c r="V5" i="99"/>
  <c r="U5" i="99"/>
  <c r="Q5" i="99"/>
  <c r="P5" i="99"/>
  <c r="O5" i="99"/>
  <c r="N5" i="99"/>
  <c r="L5" i="99"/>
  <c r="K5" i="99"/>
  <c r="I5" i="99"/>
  <c r="H5" i="99"/>
  <c r="AE4" i="99"/>
  <c r="AD4" i="99"/>
  <c r="AD14" i="99" s="1"/>
  <c r="AB4" i="99"/>
  <c r="Z4" i="99"/>
  <c r="X4" i="99"/>
  <c r="W4" i="99"/>
  <c r="W14" i="99" s="1"/>
  <c r="V4" i="99"/>
  <c r="U4" i="99"/>
  <c r="AF4" i="99" s="1"/>
  <c r="Q4" i="99"/>
  <c r="P4" i="99"/>
  <c r="O4" i="99"/>
  <c r="N4" i="99"/>
  <c r="L4" i="99"/>
  <c r="K4" i="99"/>
  <c r="I4" i="99"/>
  <c r="H4" i="99"/>
  <c r="E35" i="22" l="1"/>
  <c r="J34" i="22"/>
  <c r="P35" i="22"/>
  <c r="R30" i="22"/>
  <c r="F34" i="22"/>
  <c r="F35" i="22" s="1"/>
  <c r="R33" i="22"/>
  <c r="R32" i="22"/>
  <c r="J4" i="22"/>
  <c r="J22" i="22" s="1"/>
  <c r="R7" i="22"/>
  <c r="R8" i="22"/>
  <c r="R9" i="22"/>
  <c r="R10" i="22"/>
  <c r="R12" i="22"/>
  <c r="R13" i="22"/>
  <c r="R14" i="22"/>
  <c r="R15" i="22"/>
  <c r="R16" i="22"/>
  <c r="R17" i="22"/>
  <c r="R18" i="22"/>
  <c r="R20" i="22"/>
  <c r="R21" i="22"/>
  <c r="N22" i="22"/>
  <c r="J35" i="22"/>
  <c r="N35" i="22"/>
  <c r="B22" i="22"/>
  <c r="R4" i="22"/>
  <c r="R34" i="22"/>
  <c r="R11" i="22"/>
  <c r="R5" i="22"/>
  <c r="R31" i="22"/>
  <c r="AB30" i="99"/>
  <c r="AF25" i="99"/>
  <c r="V37" i="99"/>
  <c r="V32" i="99" s="1"/>
  <c r="S73" i="99"/>
  <c r="S33" i="99" s="1"/>
  <c r="V14" i="99"/>
  <c r="T14" i="99"/>
  <c r="Y31" i="99"/>
  <c r="R23" i="99"/>
  <c r="AF41" i="99"/>
  <c r="Q37" i="99"/>
  <c r="Q33" i="99" s="1"/>
  <c r="AA33" i="99"/>
  <c r="K14" i="99"/>
  <c r="L14" i="99"/>
  <c r="R8" i="99"/>
  <c r="AF44" i="99"/>
  <c r="AF109" i="99"/>
  <c r="L33" i="99"/>
  <c r="L32" i="99"/>
  <c r="L121" i="99" s="1"/>
  <c r="R5" i="99"/>
  <c r="AF6" i="99"/>
  <c r="Z14" i="99"/>
  <c r="R9" i="99"/>
  <c r="O14" i="99"/>
  <c r="O31" i="99" s="1"/>
  <c r="O121" i="99" s="1"/>
  <c r="AF12" i="99"/>
  <c r="E31" i="99"/>
  <c r="AF5" i="99"/>
  <c r="AF10" i="99"/>
  <c r="R11" i="99"/>
  <c r="AB14" i="99"/>
  <c r="AF13" i="99"/>
  <c r="F31" i="99"/>
  <c r="AF18" i="99"/>
  <c r="AC30" i="99"/>
  <c r="AC31" i="99" s="1"/>
  <c r="AF23" i="99"/>
  <c r="G32" i="99"/>
  <c r="Q32" i="99"/>
  <c r="AA32" i="99"/>
  <c r="F32" i="99"/>
  <c r="J32" i="99"/>
  <c r="J121" i="99" s="1"/>
  <c r="N32" i="99"/>
  <c r="AD37" i="99"/>
  <c r="AD32" i="99" s="1"/>
  <c r="M32" i="99"/>
  <c r="AB108" i="99"/>
  <c r="Q14" i="99"/>
  <c r="P30" i="99"/>
  <c r="L31" i="99"/>
  <c r="AA31" i="99"/>
  <c r="T32" i="99"/>
  <c r="H14" i="99"/>
  <c r="H31" i="99" s="1"/>
  <c r="N14" i="99"/>
  <c r="AE14" i="99"/>
  <c r="AE31" i="99" s="1"/>
  <c r="X14" i="99"/>
  <c r="R6" i="99"/>
  <c r="Q30" i="99"/>
  <c r="Q31" i="99" s="1"/>
  <c r="AD30" i="99"/>
  <c r="AD31" i="99" s="1"/>
  <c r="R18" i="99"/>
  <c r="R21" i="99"/>
  <c r="R25" i="99"/>
  <c r="D31" i="99"/>
  <c r="D121" i="99" s="1"/>
  <c r="I32" i="99"/>
  <c r="U32" i="99"/>
  <c r="Y32" i="99"/>
  <c r="P33" i="99"/>
  <c r="O32" i="99"/>
  <c r="N31" i="99"/>
  <c r="I14" i="99"/>
  <c r="I31" i="99" s="1"/>
  <c r="I121" i="99" s="1"/>
  <c r="G30" i="99"/>
  <c r="G31" i="99" s="1"/>
  <c r="R20" i="99"/>
  <c r="Z31" i="99"/>
  <c r="K37" i="99"/>
  <c r="K32" i="99" s="1"/>
  <c r="R54" i="99"/>
  <c r="R37" i="99" s="1"/>
  <c r="P14" i="99"/>
  <c r="U14" i="99"/>
  <c r="U31" i="99" s="1"/>
  <c r="U121" i="99" s="1"/>
  <c r="R24" i="99"/>
  <c r="K30" i="99"/>
  <c r="V31" i="99"/>
  <c r="Y121" i="99"/>
  <c r="AC32" i="99"/>
  <c r="AC121" i="99" s="1"/>
  <c r="R4" i="99"/>
  <c r="R17" i="99"/>
  <c r="P31" i="99"/>
  <c r="AF9" i="99"/>
  <c r="R10" i="99"/>
  <c r="AF11" i="99"/>
  <c r="R12" i="99"/>
  <c r="R13" i="99"/>
  <c r="R19" i="99"/>
  <c r="X31" i="99"/>
  <c r="X121" i="99" s="1"/>
  <c r="Z121" i="99"/>
  <c r="M121" i="99"/>
  <c r="AF73" i="99"/>
  <c r="AF108" i="99"/>
  <c r="T30" i="99"/>
  <c r="E32" i="99"/>
  <c r="E121" i="99" s="1"/>
  <c r="P32" i="99"/>
  <c r="AE32" i="99"/>
  <c r="O33" i="99"/>
  <c r="T33" i="99"/>
  <c r="X33" i="99"/>
  <c r="AF34" i="99"/>
  <c r="AF17" i="99"/>
  <c r="AF22" i="99"/>
  <c r="S31" i="99"/>
  <c r="W30" i="99"/>
  <c r="W31" i="99" s="1"/>
  <c r="H121" i="99"/>
  <c r="W121" i="99"/>
  <c r="M33" i="99"/>
  <c r="V33" i="99"/>
  <c r="Z33" i="99"/>
  <c r="AD33" i="99"/>
  <c r="R34" i="99"/>
  <c r="AF37" i="99"/>
  <c r="R108" i="99"/>
  <c r="AB37" i="99"/>
  <c r="AB32" i="99" s="1"/>
  <c r="R73" i="99"/>
  <c r="R22" i="22" l="1"/>
  <c r="B35" i="22"/>
  <c r="R35" i="22" s="1"/>
  <c r="S32" i="99"/>
  <c r="V121" i="99"/>
  <c r="N121" i="99"/>
  <c r="K31" i="99"/>
  <c r="K121" i="99" s="1"/>
  <c r="AD121" i="99"/>
  <c r="F121" i="99"/>
  <c r="K33" i="99"/>
  <c r="G121" i="99"/>
  <c r="AB31" i="99"/>
  <c r="AB121" i="99"/>
  <c r="P121" i="99"/>
  <c r="Q121" i="99"/>
  <c r="S121" i="99"/>
  <c r="AB33" i="99"/>
  <c r="R30" i="99"/>
  <c r="AA121" i="99"/>
  <c r="AE121" i="99"/>
  <c r="R32" i="99"/>
  <c r="R33" i="99"/>
  <c r="AF30" i="99"/>
  <c r="R14" i="99"/>
  <c r="AF33" i="99"/>
  <c r="AF32" i="99"/>
  <c r="T31" i="99"/>
  <c r="AF14" i="99"/>
  <c r="R31" i="99" l="1"/>
  <c r="R121" i="99"/>
  <c r="AF121" i="99"/>
  <c r="T121" i="99"/>
  <c r="AF31" i="99"/>
  <c r="F33" i="98" l="1"/>
  <c r="E33" i="98" s="1"/>
  <c r="F22" i="98"/>
  <c r="F9" i="98"/>
  <c r="G35" i="98"/>
  <c r="G44" i="98"/>
  <c r="G52" i="98" s="1"/>
  <c r="C52" i="98"/>
  <c r="D44" i="98"/>
  <c r="D52" i="98" s="1"/>
  <c r="E37" i="98"/>
  <c r="E38" i="98"/>
  <c r="E39" i="98"/>
  <c r="E40" i="98"/>
  <c r="E41" i="98"/>
  <c r="E42" i="98"/>
  <c r="E43" i="98"/>
  <c r="E45" i="98"/>
  <c r="E46" i="98"/>
  <c r="E47" i="98"/>
  <c r="E48" i="98"/>
  <c r="E49" i="98"/>
  <c r="E50" i="98"/>
  <c r="E51" i="98"/>
  <c r="F44" i="98"/>
  <c r="E36" i="98"/>
  <c r="D35" i="98"/>
  <c r="C35" i="98"/>
  <c r="E34" i="98"/>
  <c r="E32" i="98"/>
  <c r="E31" i="98"/>
  <c r="E30" i="98"/>
  <c r="F29" i="98"/>
  <c r="F35" i="98" s="1"/>
  <c r="E28" i="98"/>
  <c r="E27" i="98"/>
  <c r="E26" i="98"/>
  <c r="E25" i="98"/>
  <c r="E24" i="98"/>
  <c r="E23" i="98"/>
  <c r="E22" i="98"/>
  <c r="E21" i="98"/>
  <c r="E20" i="98"/>
  <c r="E19" i="98"/>
  <c r="E18" i="98"/>
  <c r="E17" i="98"/>
  <c r="E16" i="98"/>
  <c r="E15" i="98"/>
  <c r="E14" i="98"/>
  <c r="E13" i="98"/>
  <c r="E12" i="98"/>
  <c r="E11" i="98"/>
  <c r="E10" i="98"/>
  <c r="E9" i="98"/>
  <c r="E8" i="98"/>
  <c r="D53" i="98" l="1"/>
  <c r="D7" i="98"/>
  <c r="E44" i="98"/>
  <c r="C53" i="98"/>
  <c r="G7" i="98"/>
  <c r="F52" i="98"/>
  <c r="F53" i="98" s="1"/>
  <c r="E52" i="98"/>
  <c r="E29" i="98"/>
  <c r="E35" i="98"/>
  <c r="G53" i="98"/>
  <c r="F7" i="98"/>
  <c r="E7" i="98" l="1"/>
  <c r="E53" i="98"/>
  <c r="BH15" i="83" l="1"/>
  <c r="BD15" i="83"/>
  <c r="BN5" i="83" l="1"/>
  <c r="BN8" i="83"/>
  <c r="BE5" i="83" l="1"/>
  <c r="BE8" i="83" s="1"/>
  <c r="BE14" i="83" s="1"/>
  <c r="BA15" i="83"/>
  <c r="BM4" i="83"/>
  <c r="BL4" i="83"/>
  <c r="BK4" i="83"/>
  <c r="BK15" i="83" s="1"/>
  <c r="BI4" i="83"/>
  <c r="BI15" i="83" s="1"/>
  <c r="BG4" i="83"/>
  <c r="BG15" i="83" s="1"/>
  <c r="BF4" i="83"/>
  <c r="BF15" i="83" s="1"/>
  <c r="BC4" i="83"/>
  <c r="BC15" i="83" s="1"/>
  <c r="BB4" i="83"/>
  <c r="AH4" i="83"/>
  <c r="AG4" i="83" s="1"/>
  <c r="Z4" i="83"/>
  <c r="V4" i="83"/>
  <c r="R4" i="83"/>
  <c r="AD4" i="83" s="1"/>
  <c r="N4" i="83"/>
  <c r="K4" i="83"/>
  <c r="J4" i="83"/>
  <c r="I4" i="83"/>
  <c r="BE4" i="83" l="1"/>
  <c r="BJ4" i="83"/>
  <c r="BJ15" i="83" s="1"/>
  <c r="BM15" i="83"/>
  <c r="CC4" i="83"/>
  <c r="BO4" i="83"/>
  <c r="BL15" i="83"/>
  <c r="BB15" i="83"/>
  <c r="BE15" i="83"/>
  <c r="L4" i="83"/>
  <c r="M4" i="83" s="1"/>
  <c r="BN4" i="83" l="1"/>
  <c r="CC5" i="83"/>
  <c r="BN15" i="83" l="1"/>
  <c r="BR4" i="83"/>
  <c r="BW4" i="83"/>
  <c r="BV4" i="83"/>
  <c r="BP4" i="83"/>
  <c r="CA4" i="83"/>
  <c r="BQ4" i="83"/>
  <c r="BS4" i="83"/>
  <c r="BT4" i="83"/>
  <c r="BU4" i="83"/>
  <c r="BJ112" i="73"/>
  <c r="BL112" i="73"/>
  <c r="BL36" i="73"/>
  <c r="BL37" i="73"/>
  <c r="BL38" i="73"/>
  <c r="BL39" i="73"/>
  <c r="BL40" i="73"/>
  <c r="BL41" i="73"/>
  <c r="BL42" i="73"/>
  <c r="BL43" i="73"/>
  <c r="BL44" i="73"/>
  <c r="BL45" i="73"/>
  <c r="BL46" i="73"/>
  <c r="BL47" i="73"/>
  <c r="BL48" i="73"/>
  <c r="BL49" i="73"/>
  <c r="BL50" i="73"/>
  <c r="BL51" i="73"/>
  <c r="BL52" i="73"/>
  <c r="BL53" i="73"/>
  <c r="BL54" i="73"/>
  <c r="BL55" i="73"/>
  <c r="BL56" i="73"/>
  <c r="BL57" i="73"/>
  <c r="BL58" i="73"/>
  <c r="BL59" i="73"/>
  <c r="BL60" i="73"/>
  <c r="BL61" i="73"/>
  <c r="BL62" i="73"/>
  <c r="BL63" i="73"/>
  <c r="BL64" i="73"/>
  <c r="BL65" i="73"/>
  <c r="BL66" i="73"/>
  <c r="BL67" i="73"/>
  <c r="BL68" i="73"/>
  <c r="BL69" i="73"/>
  <c r="BL70" i="73"/>
  <c r="BL71" i="73"/>
  <c r="BL72" i="73"/>
  <c r="BL73" i="73"/>
  <c r="BL74" i="73"/>
  <c r="BL75" i="73"/>
  <c r="BL76" i="73"/>
  <c r="BL77" i="73"/>
  <c r="BL78" i="73"/>
  <c r="BL79" i="73"/>
  <c r="BL80" i="73"/>
  <c r="BL81" i="73"/>
  <c r="BL82" i="73"/>
  <c r="BL83" i="73"/>
  <c r="BL84" i="73"/>
  <c r="BL85" i="73"/>
  <c r="BL86" i="73"/>
  <c r="BL87" i="73"/>
  <c r="BL88" i="73"/>
  <c r="BL89" i="73"/>
  <c r="BL90" i="73"/>
  <c r="BL91" i="73"/>
  <c r="BL92" i="73"/>
  <c r="BL93" i="73"/>
  <c r="BL94" i="73"/>
  <c r="BL95" i="73"/>
  <c r="BL96" i="73"/>
  <c r="BL97" i="73"/>
  <c r="BL98" i="73"/>
  <c r="BL99" i="73"/>
  <c r="BL100" i="73"/>
  <c r="BL101" i="73"/>
  <c r="BL102" i="73"/>
  <c r="BL103" i="73"/>
  <c r="BL104" i="73"/>
  <c r="BL105" i="73"/>
  <c r="BL107" i="73"/>
  <c r="BL108" i="73"/>
  <c r="BL113" i="73"/>
  <c r="BL114" i="73"/>
  <c r="BL115" i="73"/>
  <c r="BL116" i="73"/>
  <c r="BL117" i="73"/>
  <c r="BL118" i="73"/>
  <c r="BL119" i="73"/>
  <c r="BL120" i="73"/>
  <c r="BL121" i="73"/>
  <c r="BL122" i="73"/>
  <c r="BL123" i="73"/>
  <c r="BL35" i="73"/>
  <c r="BK106" i="73"/>
  <c r="BK33" i="73" s="1"/>
  <c r="BK71" i="73"/>
  <c r="BK57" i="73"/>
  <c r="BK37" i="73" s="1"/>
  <c r="BK38" i="73"/>
  <c r="BK34" i="73"/>
  <c r="BK25" i="73"/>
  <c r="BK20" i="73"/>
  <c r="BK18" i="73"/>
  <c r="BK17" i="73"/>
  <c r="BK30" i="73" s="1"/>
  <c r="BK13" i="73"/>
  <c r="BK12" i="73"/>
  <c r="BK11" i="73"/>
  <c r="BK10" i="73"/>
  <c r="BK9" i="73"/>
  <c r="BK7" i="73"/>
  <c r="BK6" i="73"/>
  <c r="BK5" i="73"/>
  <c r="BK14" i="73" s="1"/>
  <c r="BK4" i="73"/>
  <c r="BK31" i="73" l="1"/>
  <c r="BK32" i="73"/>
  <c r="BK124" i="73" s="1"/>
  <c r="C63" i="2" l="1"/>
  <c r="P63" i="2"/>
  <c r="O63" i="2"/>
  <c r="M63" i="2"/>
  <c r="L63" i="2"/>
  <c r="K63" i="2"/>
  <c r="I63" i="2"/>
  <c r="H63" i="2"/>
  <c r="G63" i="2"/>
  <c r="E63" i="2"/>
  <c r="D63" i="2"/>
  <c r="N62" i="2"/>
  <c r="J62" i="2"/>
  <c r="F62" i="2"/>
  <c r="BJ13" i="73" l="1"/>
  <c r="BJ12" i="73"/>
  <c r="BJ11" i="73"/>
  <c r="BJ10" i="73"/>
  <c r="BJ9" i="73"/>
  <c r="BJ5" i="73"/>
  <c r="BJ4" i="73"/>
  <c r="BJ17" i="73"/>
  <c r="BJ25" i="73"/>
  <c r="AS112" i="73"/>
  <c r="BJ61" i="73"/>
  <c r="AS61" i="73" s="1"/>
  <c r="AS38" i="73"/>
  <c r="AS46" i="73"/>
  <c r="AS45" i="73"/>
  <c r="AS58" i="73"/>
  <c r="AS59" i="73"/>
  <c r="AS65" i="73"/>
  <c r="AS57" i="73"/>
  <c r="AS94" i="73"/>
  <c r="AS95" i="73"/>
  <c r="AS96" i="73"/>
  <c r="AS93" i="73"/>
  <c r="AS89" i="73"/>
  <c r="AS83" i="73"/>
  <c r="AS119" i="73"/>
  <c r="AS110" i="73"/>
  <c r="AS111" i="73"/>
  <c r="AS109" i="73"/>
  <c r="BJ6" i="73"/>
  <c r="BJ89" i="73"/>
  <c r="BJ8" i="73" l="1"/>
  <c r="BJ30" i="73" l="1"/>
  <c r="BM11" i="73"/>
  <c r="BL4" i="73"/>
  <c r="AS77" i="73"/>
  <c r="AS76" i="73"/>
  <c r="AS36" i="73"/>
  <c r="AS35" i="73"/>
  <c r="BM5" i="73"/>
  <c r="BM6" i="73"/>
  <c r="BM7" i="73"/>
  <c r="BM8" i="73"/>
  <c r="BM9" i="73"/>
  <c r="BM10" i="73"/>
  <c r="BM12" i="73"/>
  <c r="BM13" i="73"/>
  <c r="BM15" i="73"/>
  <c r="BM16" i="73"/>
  <c r="BM17" i="73"/>
  <c r="BM18" i="73"/>
  <c r="BM19" i="73"/>
  <c r="BM20" i="73"/>
  <c r="BM21" i="73"/>
  <c r="BM22" i="73"/>
  <c r="BM23" i="73"/>
  <c r="BM24" i="73"/>
  <c r="BM25" i="73"/>
  <c r="BM26" i="73"/>
  <c r="BM27" i="73"/>
  <c r="BM28" i="73"/>
  <c r="BM29" i="73"/>
  <c r="BM4" i="73"/>
  <c r="AG18" i="73"/>
  <c r="AG17" i="73"/>
  <c r="AG13" i="73"/>
  <c r="AG9" i="73"/>
  <c r="AG6" i="73"/>
  <c r="AG5" i="73"/>
  <c r="AG4" i="73"/>
  <c r="AH15" i="73"/>
  <c r="AH16" i="73"/>
  <c r="AH17" i="73"/>
  <c r="AH18" i="73"/>
  <c r="AH19" i="73"/>
  <c r="AH20" i="73"/>
  <c r="AH22" i="73"/>
  <c r="AH23" i="73"/>
  <c r="AH24" i="73"/>
  <c r="AH25" i="73"/>
  <c r="AG25" i="73" s="1"/>
  <c r="AH26" i="73"/>
  <c r="AH27" i="73"/>
  <c r="AH28" i="73"/>
  <c r="AH11" i="73"/>
  <c r="AH12" i="73"/>
  <c r="AG12" i="73" s="1"/>
  <c r="AH13" i="73"/>
  <c r="AH7" i="73"/>
  <c r="AH8" i="73"/>
  <c r="AH9" i="73"/>
  <c r="AH10" i="73"/>
  <c r="AH5" i="73"/>
  <c r="AH6" i="73"/>
  <c r="AH4" i="73"/>
  <c r="AG10" i="73"/>
  <c r="AG27" i="73"/>
  <c r="BO123" i="73"/>
  <c r="BN123" i="73"/>
  <c r="BM123" i="73"/>
  <c r="BS123" i="73"/>
  <c r="BS122" i="73"/>
  <c r="AM122" i="73"/>
  <c r="AL122" i="73"/>
  <c r="AK122" i="73"/>
  <c r="AJ122" i="73"/>
  <c r="AI122" i="73"/>
  <c r="L122" i="73"/>
  <c r="M122" i="73" s="1"/>
  <c r="AZ121" i="73"/>
  <c r="BQ121" i="73" s="1"/>
  <c r="AK121" i="73"/>
  <c r="L121" i="73"/>
  <c r="M121" i="73" s="1"/>
  <c r="F121" i="73"/>
  <c r="AZ120" i="73"/>
  <c r="BQ120" i="73" s="1"/>
  <c r="AD120" i="73"/>
  <c r="AD32" i="73" s="1"/>
  <c r="L120" i="73"/>
  <c r="M120" i="73" s="1"/>
  <c r="AZ119" i="73"/>
  <c r="BR119" i="73" s="1"/>
  <c r="AR119" i="73"/>
  <c r="AP119" i="73"/>
  <c r="AM119" i="73"/>
  <c r="AD119" i="73"/>
  <c r="L119" i="73"/>
  <c r="M119" i="73" s="1"/>
  <c r="F119" i="73"/>
  <c r="BS118" i="73"/>
  <c r="BP118" i="73"/>
  <c r="AZ118" i="73"/>
  <c r="AR118" i="73"/>
  <c r="AP118" i="73"/>
  <c r="AM118" i="73"/>
  <c r="AD118" i="73"/>
  <c r="M118" i="73"/>
  <c r="L118" i="73"/>
  <c r="AZ117" i="73"/>
  <c r="AR117" i="73"/>
  <c r="AP117" i="73"/>
  <c r="AM117" i="73"/>
  <c r="AD117" i="73"/>
  <c r="L117" i="73"/>
  <c r="M117" i="73" s="1"/>
  <c r="AZ116" i="73"/>
  <c r="AP116" i="73"/>
  <c r="AM116" i="73"/>
  <c r="AH116" i="73"/>
  <c r="AD116" i="73"/>
  <c r="L116" i="73"/>
  <c r="M116" i="73" s="1"/>
  <c r="AH115" i="73"/>
  <c r="AZ115" i="73"/>
  <c r="AP115" i="73"/>
  <c r="AM115" i="73"/>
  <c r="AD115" i="73"/>
  <c r="L115" i="73"/>
  <c r="M115" i="73" s="1"/>
  <c r="AZ114" i="73"/>
  <c r="BQ114" i="73" s="1"/>
  <c r="AP114" i="73"/>
  <c r="AN114" i="73"/>
  <c r="AM114" i="73"/>
  <c r="AD114" i="73"/>
  <c r="L114" i="73"/>
  <c r="M114" i="73" s="1"/>
  <c r="AZ113" i="73"/>
  <c r="BQ113" i="73" s="1"/>
  <c r="AP113" i="73"/>
  <c r="AO113" i="73"/>
  <c r="AM113" i="73"/>
  <c r="AH113" i="73"/>
  <c r="AD113" i="73"/>
  <c r="L113" i="73"/>
  <c r="M113" i="73" s="1"/>
  <c r="AZ112" i="73"/>
  <c r="AR112" i="73"/>
  <c r="AQ112" i="73"/>
  <c r="AP112" i="73"/>
  <c r="AO112" i="73"/>
  <c r="AM112" i="73"/>
  <c r="AL112" i="73"/>
  <c r="AK112" i="73"/>
  <c r="AJ112" i="73"/>
  <c r="L112" i="73"/>
  <c r="M112" i="73" s="1"/>
  <c r="AZ111" i="73"/>
  <c r="AQ111" i="73"/>
  <c r="AP111" i="73"/>
  <c r="AO111" i="73"/>
  <c r="AM111" i="73"/>
  <c r="AL111" i="73"/>
  <c r="AK111" i="73"/>
  <c r="AJ111" i="73"/>
  <c r="L111" i="73"/>
  <c r="M111" i="73" s="1"/>
  <c r="AZ110" i="73"/>
  <c r="AP110" i="73"/>
  <c r="AO110" i="73"/>
  <c r="AM110" i="73"/>
  <c r="AL110" i="73"/>
  <c r="AK110" i="73"/>
  <c r="AJ110" i="73"/>
  <c r="L110" i="73"/>
  <c r="AZ109" i="73"/>
  <c r="BL109" i="73" s="1"/>
  <c r="AR109" i="73"/>
  <c r="AQ109" i="73"/>
  <c r="AQ106" i="73" s="1"/>
  <c r="AP109" i="73"/>
  <c r="AO109" i="73"/>
  <c r="AM109" i="73"/>
  <c r="AL109" i="73"/>
  <c r="AK109" i="73"/>
  <c r="AJ109" i="73"/>
  <c r="L109" i="73"/>
  <c r="M109" i="73" s="1"/>
  <c r="AZ108" i="73"/>
  <c r="AQ108" i="73"/>
  <c r="AP108" i="73"/>
  <c r="AM108" i="73"/>
  <c r="AK108" i="73"/>
  <c r="AJ108" i="73"/>
  <c r="M108" i="73"/>
  <c r="L108" i="73"/>
  <c r="F108" i="73"/>
  <c r="AZ107" i="73"/>
  <c r="AQ107" i="73"/>
  <c r="AP107" i="73"/>
  <c r="AM107" i="73"/>
  <c r="AK107" i="73"/>
  <c r="AK106" i="73" s="1"/>
  <c r="AJ107" i="73"/>
  <c r="L107" i="73"/>
  <c r="M107" i="73" s="1"/>
  <c r="M106" i="73" s="1"/>
  <c r="F107" i="73"/>
  <c r="F106" i="73" s="1"/>
  <c r="BJ106" i="73"/>
  <c r="BI106" i="73"/>
  <c r="BH106" i="73"/>
  <c r="BG106" i="73"/>
  <c r="BF106" i="73"/>
  <c r="BE106" i="73"/>
  <c r="BD106" i="73"/>
  <c r="BC106" i="73"/>
  <c r="BB106" i="73"/>
  <c r="BB32" i="73" s="1"/>
  <c r="BA106" i="73"/>
  <c r="AY106" i="73"/>
  <c r="AX106" i="73"/>
  <c r="AW106" i="73"/>
  <c r="AV106" i="73"/>
  <c r="AU106" i="73"/>
  <c r="AT106" i="73"/>
  <c r="AS106" i="73"/>
  <c r="AN106" i="73"/>
  <c r="AI106" i="73"/>
  <c r="AF106" i="73"/>
  <c r="AE106" i="73"/>
  <c r="N106" i="73"/>
  <c r="K106" i="73"/>
  <c r="J106" i="73"/>
  <c r="I106" i="73"/>
  <c r="H106" i="73"/>
  <c r="G106" i="73"/>
  <c r="E106" i="73"/>
  <c r="E32" i="73" s="1"/>
  <c r="BQ105" i="73"/>
  <c r="AR105" i="73"/>
  <c r="AQ105" i="73"/>
  <c r="AP105" i="73"/>
  <c r="AO105" i="73"/>
  <c r="AN105" i="73"/>
  <c r="AM105" i="73"/>
  <c r="AL105" i="73"/>
  <c r="AK105" i="73"/>
  <c r="AJ105" i="73"/>
  <c r="AI105" i="73"/>
  <c r="L105" i="73"/>
  <c r="M105" i="73" s="1"/>
  <c r="F105" i="73"/>
  <c r="AZ104" i="73"/>
  <c r="AR104" i="73"/>
  <c r="AQ104" i="73"/>
  <c r="AP104" i="73"/>
  <c r="AO104" i="73"/>
  <c r="AN104" i="73"/>
  <c r="AM104" i="73"/>
  <c r="AL104" i="73"/>
  <c r="AK104" i="73"/>
  <c r="AJ104" i="73"/>
  <c r="L104" i="73"/>
  <c r="M104" i="73" s="1"/>
  <c r="BS103" i="73"/>
  <c r="AZ103" i="73"/>
  <c r="AR103" i="73"/>
  <c r="AQ103" i="73"/>
  <c r="AP103" i="73"/>
  <c r="AO103" i="73"/>
  <c r="AN103" i="73"/>
  <c r="AM103" i="73"/>
  <c r="AL103" i="73"/>
  <c r="AK103" i="73"/>
  <c r="AJ103" i="73"/>
  <c r="AI103" i="73"/>
  <c r="AH103" i="73"/>
  <c r="L103" i="73"/>
  <c r="M103" i="73" s="1"/>
  <c r="BP102" i="73"/>
  <c r="AZ102" i="73"/>
  <c r="AR102" i="73"/>
  <c r="AQ102" i="73"/>
  <c r="AP102" i="73"/>
  <c r="AO102" i="73"/>
  <c r="AN102" i="73"/>
  <c r="AM102" i="73"/>
  <c r="AL102" i="73"/>
  <c r="AK102" i="73"/>
  <c r="AJ102" i="73"/>
  <c r="AI102" i="73"/>
  <c r="AH102" i="73"/>
  <c r="M102" i="73"/>
  <c r="L102" i="73"/>
  <c r="AZ101" i="73"/>
  <c r="AR101" i="73"/>
  <c r="AQ101" i="73"/>
  <c r="AP101" i="73"/>
  <c r="AO101" i="73"/>
  <c r="AN101" i="73"/>
  <c r="AM101" i="73"/>
  <c r="AL101" i="73"/>
  <c r="AK101" i="73"/>
  <c r="AJ101" i="73"/>
  <c r="L101" i="73"/>
  <c r="M101" i="73" s="1"/>
  <c r="AZ100" i="73"/>
  <c r="AR100" i="73"/>
  <c r="AQ100" i="73"/>
  <c r="AP100" i="73"/>
  <c r="AO100" i="73"/>
  <c r="AN100" i="73"/>
  <c r="AM100" i="73"/>
  <c r="AL100" i="73"/>
  <c r="AK100" i="73"/>
  <c r="AJ100" i="73"/>
  <c r="L100" i="73"/>
  <c r="M100" i="73" s="1"/>
  <c r="AH99" i="73"/>
  <c r="AZ99" i="73"/>
  <c r="AR99" i="73"/>
  <c r="AQ99" i="73"/>
  <c r="AP99" i="73"/>
  <c r="AO99" i="73"/>
  <c r="AN99" i="73"/>
  <c r="AM99" i="73"/>
  <c r="AL99" i="73"/>
  <c r="AK99" i="73"/>
  <c r="AJ99" i="73"/>
  <c r="AI99" i="73"/>
  <c r="L99" i="73"/>
  <c r="M99" i="73" s="1"/>
  <c r="BP98" i="73"/>
  <c r="AZ98" i="73"/>
  <c r="AR98" i="73"/>
  <c r="AQ98" i="73"/>
  <c r="AP98" i="73"/>
  <c r="AO98" i="73"/>
  <c r="AN98" i="73"/>
  <c r="AM98" i="73"/>
  <c r="AL98" i="73"/>
  <c r="AK98" i="73"/>
  <c r="AJ98" i="73"/>
  <c r="AI98" i="73"/>
  <c r="M98" i="73"/>
  <c r="L98" i="73"/>
  <c r="AZ97" i="73"/>
  <c r="AR97" i="73"/>
  <c r="AQ97" i="73"/>
  <c r="AP97" i="73"/>
  <c r="AO97" i="73"/>
  <c r="AN97" i="73"/>
  <c r="AM97" i="73"/>
  <c r="AL97" i="73"/>
  <c r="AK97" i="73"/>
  <c r="AJ97" i="73"/>
  <c r="L97" i="73"/>
  <c r="M97" i="73" s="1"/>
  <c r="AZ96" i="73"/>
  <c r="AR96" i="73"/>
  <c r="AQ96" i="73"/>
  <c r="AP96" i="73"/>
  <c r="AO96" i="73"/>
  <c r="AN96" i="73"/>
  <c r="AM96" i="73"/>
  <c r="AL96" i="73"/>
  <c r="AK96" i="73"/>
  <c r="AJ96" i="73"/>
  <c r="L96" i="73"/>
  <c r="M96" i="73" s="1"/>
  <c r="F96" i="73"/>
  <c r="AZ95" i="73"/>
  <c r="AR95" i="73"/>
  <c r="AQ95" i="73"/>
  <c r="AP95" i="73"/>
  <c r="AO95" i="73"/>
  <c r="AN95" i="73"/>
  <c r="AM95" i="73"/>
  <c r="AL95" i="73"/>
  <c r="AK95" i="73"/>
  <c r="AJ95" i="73"/>
  <c r="M95" i="73"/>
  <c r="L95" i="73"/>
  <c r="AH94" i="73"/>
  <c r="AZ94" i="73"/>
  <c r="AR94" i="73"/>
  <c r="AQ94" i="73"/>
  <c r="AP94" i="73"/>
  <c r="AO94" i="73"/>
  <c r="AN94" i="73"/>
  <c r="AM94" i="73"/>
  <c r="AL94" i="73"/>
  <c r="AK94" i="73"/>
  <c r="AJ94" i="73"/>
  <c r="AI94" i="73"/>
  <c r="L94" i="73"/>
  <c r="M94" i="73" s="1"/>
  <c r="F94" i="73"/>
  <c r="BR93" i="73"/>
  <c r="AR93" i="73"/>
  <c r="AQ93" i="73"/>
  <c r="AP93" i="73"/>
  <c r="AO93" i="73"/>
  <c r="AN93" i="73"/>
  <c r="AM93" i="73"/>
  <c r="AL93" i="73"/>
  <c r="AK93" i="73"/>
  <c r="AJ93" i="73"/>
  <c r="AI93" i="73"/>
  <c r="BR92" i="73"/>
  <c r="AR92" i="73"/>
  <c r="AQ92" i="73"/>
  <c r="AP92" i="73"/>
  <c r="AO92" i="73"/>
  <c r="AN92" i="73"/>
  <c r="AM92" i="73"/>
  <c r="AL92" i="73"/>
  <c r="AK92" i="73"/>
  <c r="AJ92" i="73"/>
  <c r="AI92" i="73"/>
  <c r="AR91" i="73"/>
  <c r="AQ91" i="73"/>
  <c r="AP91" i="73"/>
  <c r="AO91" i="73"/>
  <c r="AN91" i="73"/>
  <c r="AM91" i="73"/>
  <c r="AL91" i="73"/>
  <c r="AK91" i="73"/>
  <c r="AJ91" i="73"/>
  <c r="AI91" i="73"/>
  <c r="BS90" i="73"/>
  <c r="AR90" i="73"/>
  <c r="AQ90" i="73"/>
  <c r="AP90" i="73"/>
  <c r="AO90" i="73"/>
  <c r="AN90" i="73"/>
  <c r="AM90" i="73"/>
  <c r="AL90" i="73"/>
  <c r="AK90" i="73"/>
  <c r="AJ90" i="73"/>
  <c r="AI90" i="73"/>
  <c r="BR89" i="73"/>
  <c r="AR89" i="73"/>
  <c r="AQ89" i="73"/>
  <c r="AP89" i="73"/>
  <c r="AO89" i="73"/>
  <c r="AN89" i="73"/>
  <c r="AM89" i="73"/>
  <c r="AL89" i="73"/>
  <c r="AK89" i="73"/>
  <c r="AJ89" i="73"/>
  <c r="AI89" i="73"/>
  <c r="M89" i="73"/>
  <c r="L89" i="73"/>
  <c r="BR88" i="73"/>
  <c r="AR88" i="73"/>
  <c r="AQ88" i="73"/>
  <c r="AP88" i="73"/>
  <c r="AO88" i="73"/>
  <c r="AN88" i="73"/>
  <c r="AM88" i="73"/>
  <c r="AL88" i="73"/>
  <c r="AK88" i="73"/>
  <c r="AJ88" i="73"/>
  <c r="AI88" i="73"/>
  <c r="BS87" i="73"/>
  <c r="AR87" i="73"/>
  <c r="AQ87" i="73"/>
  <c r="AP87" i="73"/>
  <c r="AO87" i="73"/>
  <c r="AN87" i="73"/>
  <c r="AM87" i="73"/>
  <c r="AL87" i="73"/>
  <c r="AK87" i="73"/>
  <c r="AJ87" i="73"/>
  <c r="AI87" i="73"/>
  <c r="BP86" i="73"/>
  <c r="AR86" i="73"/>
  <c r="AQ86" i="73"/>
  <c r="AP86" i="73"/>
  <c r="AO86" i="73"/>
  <c r="AN86" i="73"/>
  <c r="AM86" i="73"/>
  <c r="AL86" i="73"/>
  <c r="AK86" i="73"/>
  <c r="AJ86" i="73"/>
  <c r="AI86" i="73"/>
  <c r="M86" i="73"/>
  <c r="L86" i="73"/>
  <c r="F86" i="73"/>
  <c r="AZ85" i="73"/>
  <c r="BS85" i="73" s="1"/>
  <c r="AR85" i="73"/>
  <c r="AQ85" i="73"/>
  <c r="AP85" i="73"/>
  <c r="AO85" i="73"/>
  <c r="AN85" i="73"/>
  <c r="AM85" i="73"/>
  <c r="AL85" i="73"/>
  <c r="AK85" i="73"/>
  <c r="AJ85" i="73"/>
  <c r="AI85" i="73"/>
  <c r="AZ84" i="73"/>
  <c r="AR84" i="73"/>
  <c r="AQ84" i="73"/>
  <c r="AP84" i="73"/>
  <c r="AO84" i="73"/>
  <c r="AN84" i="73"/>
  <c r="AM84" i="73"/>
  <c r="AL84" i="73"/>
  <c r="AK84" i="73"/>
  <c r="AJ84" i="73"/>
  <c r="BR83" i="73"/>
  <c r="AR83" i="73"/>
  <c r="AQ83" i="73"/>
  <c r="AP83" i="73"/>
  <c r="AO83" i="73"/>
  <c r="AN83" i="73"/>
  <c r="AM83" i="73"/>
  <c r="AL83" i="73"/>
  <c r="AK83" i="73"/>
  <c r="AJ83" i="73"/>
  <c r="AJ71" i="73" s="1"/>
  <c r="AI83" i="73"/>
  <c r="L83" i="73"/>
  <c r="M83" i="73" s="1"/>
  <c r="BS82" i="73"/>
  <c r="AR82" i="73"/>
  <c r="AQ82" i="73"/>
  <c r="AP82" i="73"/>
  <c r="AO82" i="73"/>
  <c r="AN82" i="73"/>
  <c r="AM82" i="73"/>
  <c r="AL82" i="73"/>
  <c r="AK82" i="73"/>
  <c r="AJ82" i="73"/>
  <c r="AI82" i="73"/>
  <c r="L82" i="73"/>
  <c r="M82" i="73" s="1"/>
  <c r="F82" i="73"/>
  <c r="BP81" i="73"/>
  <c r="AZ81" i="73"/>
  <c r="AR81" i="73"/>
  <c r="AQ81" i="73"/>
  <c r="AP81" i="73"/>
  <c r="AO81" i="73"/>
  <c r="AN81" i="73"/>
  <c r="AM81" i="73"/>
  <c r="AL81" i="73"/>
  <c r="AK81" i="73"/>
  <c r="AJ81" i="73"/>
  <c r="AI81" i="73"/>
  <c r="L81" i="73"/>
  <c r="M81" i="73" s="1"/>
  <c r="AZ80" i="73"/>
  <c r="AR80" i="73"/>
  <c r="AQ80" i="73"/>
  <c r="AP80" i="73"/>
  <c r="AO80" i="73"/>
  <c r="AN80" i="73"/>
  <c r="AM80" i="73"/>
  <c r="AL80" i="73"/>
  <c r="AK80" i="73"/>
  <c r="AJ80" i="73"/>
  <c r="M80" i="73"/>
  <c r="L80" i="73"/>
  <c r="BS79" i="73"/>
  <c r="AR79" i="73"/>
  <c r="AQ79" i="73"/>
  <c r="AP79" i="73"/>
  <c r="AO79" i="73"/>
  <c r="AN79" i="73"/>
  <c r="AM79" i="73"/>
  <c r="AL79" i="73"/>
  <c r="AK79" i="73"/>
  <c r="AJ79" i="73"/>
  <c r="AI79" i="73"/>
  <c r="L79" i="73"/>
  <c r="M79" i="73" s="1"/>
  <c r="BP78" i="73"/>
  <c r="AR78" i="73"/>
  <c r="AQ78" i="73"/>
  <c r="AP78" i="73"/>
  <c r="AO78" i="73"/>
  <c r="AN78" i="73"/>
  <c r="AM78" i="73"/>
  <c r="AL78" i="73"/>
  <c r="AK78" i="73"/>
  <c r="AJ78" i="73"/>
  <c r="AI78" i="73"/>
  <c r="M78" i="73"/>
  <c r="L78" i="73"/>
  <c r="F78" i="73"/>
  <c r="BS77" i="73"/>
  <c r="AR77" i="73"/>
  <c r="AQ77" i="73"/>
  <c r="AP77" i="73"/>
  <c r="AO77" i="73"/>
  <c r="AN77" i="73"/>
  <c r="AM77" i="73"/>
  <c r="AL77" i="73"/>
  <c r="AK77" i="73"/>
  <c r="AJ77" i="73"/>
  <c r="AI77" i="73"/>
  <c r="M77" i="73"/>
  <c r="L77" i="73"/>
  <c r="BR76" i="73"/>
  <c r="BS76" i="73"/>
  <c r="AR76" i="73"/>
  <c r="AQ76" i="73"/>
  <c r="AP76" i="73"/>
  <c r="AO76" i="73"/>
  <c r="AN76" i="73"/>
  <c r="AM76" i="73"/>
  <c r="AL76" i="73"/>
  <c r="AK76" i="73"/>
  <c r="AJ76" i="73"/>
  <c r="AI76" i="73"/>
  <c r="L76" i="73"/>
  <c r="M76" i="73" s="1"/>
  <c r="BR75" i="73"/>
  <c r="AZ75" i="73"/>
  <c r="AI75" i="73" s="1"/>
  <c r="AR75" i="73"/>
  <c r="AQ75" i="73"/>
  <c r="AP75" i="73"/>
  <c r="AO75" i="73"/>
  <c r="AN75" i="73"/>
  <c r="AM75" i="73"/>
  <c r="AL75" i="73"/>
  <c r="AK75" i="73"/>
  <c r="AJ75" i="73"/>
  <c r="AH75" i="73"/>
  <c r="M75" i="73"/>
  <c r="L75" i="73"/>
  <c r="F75" i="73"/>
  <c r="AZ74" i="73"/>
  <c r="BS74" i="73" s="1"/>
  <c r="AR74" i="73"/>
  <c r="AQ74" i="73"/>
  <c r="AP74" i="73"/>
  <c r="AO74" i="73"/>
  <c r="AN74" i="73"/>
  <c r="AM74" i="73"/>
  <c r="AL74" i="73"/>
  <c r="L74" i="73"/>
  <c r="M74" i="73" s="1"/>
  <c r="AZ73" i="73"/>
  <c r="AR73" i="73"/>
  <c r="AQ73" i="73"/>
  <c r="AP73" i="73"/>
  <c r="AO73" i="73"/>
  <c r="AO71" i="73" s="1"/>
  <c r="AN73" i="73"/>
  <c r="AM73" i="73"/>
  <c r="AL73" i="73"/>
  <c r="L73" i="73"/>
  <c r="M73" i="73" s="1"/>
  <c r="F73" i="73"/>
  <c r="E73" i="73"/>
  <c r="E71" i="73" s="1"/>
  <c r="AZ72" i="73"/>
  <c r="BQ72" i="73" s="1"/>
  <c r="AR72" i="73"/>
  <c r="AQ72" i="73"/>
  <c r="AQ71" i="73" s="1"/>
  <c r="AP72" i="73"/>
  <c r="AO72" i="73"/>
  <c r="AN72" i="73"/>
  <c r="AM72" i="73"/>
  <c r="AM71" i="73" s="1"/>
  <c r="AL72" i="73"/>
  <c r="L72" i="73"/>
  <c r="M72" i="73" s="1"/>
  <c r="M71" i="73" s="1"/>
  <c r="F72" i="73"/>
  <c r="BJ71" i="73"/>
  <c r="BI71" i="73"/>
  <c r="BH71" i="73"/>
  <c r="BG71" i="73"/>
  <c r="BF71" i="73"/>
  <c r="BE71" i="73"/>
  <c r="BD71" i="73"/>
  <c r="BC71" i="73"/>
  <c r="BB71" i="73"/>
  <c r="BA71" i="73"/>
  <c r="AY71" i="73"/>
  <c r="AY33" i="73" s="1"/>
  <c r="AX71" i="73"/>
  <c r="AX33" i="73" s="1"/>
  <c r="AW71" i="73"/>
  <c r="AV71" i="73"/>
  <c r="AU71" i="73"/>
  <c r="AU33" i="73" s="1"/>
  <c r="AT71" i="73"/>
  <c r="AT32" i="73" s="1"/>
  <c r="AS71" i="73"/>
  <c r="AF71" i="73"/>
  <c r="AE71" i="73"/>
  <c r="N71" i="73"/>
  <c r="L71" i="73"/>
  <c r="K71" i="73"/>
  <c r="J71" i="73"/>
  <c r="I71" i="73"/>
  <c r="H71" i="73"/>
  <c r="G71" i="73"/>
  <c r="AZ70" i="73"/>
  <c r="AR70" i="73"/>
  <c r="AQ70" i="73"/>
  <c r="AP70" i="73"/>
  <c r="AO70" i="73"/>
  <c r="AM70" i="73"/>
  <c r="AL70" i="73"/>
  <c r="L70" i="73"/>
  <c r="M70" i="73" s="1"/>
  <c r="AH69" i="73"/>
  <c r="AZ69" i="73"/>
  <c r="AR69" i="73"/>
  <c r="AQ69" i="73"/>
  <c r="AP69" i="73"/>
  <c r="AO69" i="73"/>
  <c r="AM69" i="73"/>
  <c r="AL69" i="73"/>
  <c r="L69" i="73"/>
  <c r="M69" i="73" s="1"/>
  <c r="F69" i="73"/>
  <c r="AZ68" i="73"/>
  <c r="BS68" i="73" s="1"/>
  <c r="AR68" i="73"/>
  <c r="AQ68" i="73"/>
  <c r="AP68" i="73"/>
  <c r="AO68" i="73"/>
  <c r="AM68" i="73"/>
  <c r="AL68" i="73"/>
  <c r="M68" i="73"/>
  <c r="L68" i="73"/>
  <c r="F68" i="73"/>
  <c r="AH67" i="73"/>
  <c r="AZ67" i="73"/>
  <c r="AR67" i="73"/>
  <c r="AQ67" i="73"/>
  <c r="AP67" i="73"/>
  <c r="AO67" i="73"/>
  <c r="AM67" i="73"/>
  <c r="AL67" i="73"/>
  <c r="BP66" i="73"/>
  <c r="AZ66" i="73"/>
  <c r="AR66" i="73"/>
  <c r="AQ66" i="73"/>
  <c r="AP66" i="73"/>
  <c r="AO66" i="73"/>
  <c r="AN66" i="73"/>
  <c r="AM66" i="73"/>
  <c r="AL66" i="73"/>
  <c r="AZ65" i="73"/>
  <c r="BQ65" i="73" s="1"/>
  <c r="AR65" i="73"/>
  <c r="AQ65" i="73"/>
  <c r="AP65" i="73"/>
  <c r="AO65" i="73"/>
  <c r="AN65" i="73"/>
  <c r="AM65" i="73"/>
  <c r="AL65" i="73"/>
  <c r="AZ64" i="73"/>
  <c r="AR64" i="73"/>
  <c r="AQ64" i="73"/>
  <c r="AP64" i="73"/>
  <c r="AO64" i="73"/>
  <c r="AN64" i="73"/>
  <c r="AM64" i="73"/>
  <c r="AL64" i="73"/>
  <c r="L64" i="73"/>
  <c r="M64" i="73" s="1"/>
  <c r="BP63" i="73"/>
  <c r="AZ63" i="73"/>
  <c r="AR63" i="73"/>
  <c r="AQ63" i="73"/>
  <c r="AP63" i="73"/>
  <c r="AO63" i="73"/>
  <c r="AN63" i="73"/>
  <c r="AM63" i="73"/>
  <c r="AL63" i="73"/>
  <c r="L63" i="73"/>
  <c r="M63" i="73" s="1"/>
  <c r="F63" i="73"/>
  <c r="BQ62" i="73"/>
  <c r="BP62" i="73"/>
  <c r="AZ62" i="73"/>
  <c r="AR62" i="73"/>
  <c r="AQ62" i="73"/>
  <c r="AP62" i="73"/>
  <c r="AO62" i="73"/>
  <c r="AN62" i="73"/>
  <c r="AM62" i="73"/>
  <c r="AL62" i="73"/>
  <c r="AK62" i="73"/>
  <c r="AJ62" i="73"/>
  <c r="AI62" i="73"/>
  <c r="L62" i="73"/>
  <c r="M62" i="73" s="1"/>
  <c r="AZ61" i="73"/>
  <c r="AR61" i="73"/>
  <c r="AQ61" i="73"/>
  <c r="AP61" i="73"/>
  <c r="AO61" i="73"/>
  <c r="AN61" i="73"/>
  <c r="AM61" i="73"/>
  <c r="AL61" i="73"/>
  <c r="L61" i="73"/>
  <c r="M61" i="73" s="1"/>
  <c r="BP60" i="73"/>
  <c r="AZ60" i="73"/>
  <c r="AR60" i="73"/>
  <c r="AQ60" i="73"/>
  <c r="AP60" i="73"/>
  <c r="AO60" i="73"/>
  <c r="AN60" i="73"/>
  <c r="AM60" i="73"/>
  <c r="AL60" i="73"/>
  <c r="L60" i="73"/>
  <c r="M60" i="73" s="1"/>
  <c r="F60" i="73"/>
  <c r="BS59" i="73"/>
  <c r="AR59" i="73"/>
  <c r="AQ59" i="73"/>
  <c r="AP59" i="73"/>
  <c r="AO59" i="73"/>
  <c r="AN59" i="73"/>
  <c r="AM59" i="73"/>
  <c r="AL59" i="73"/>
  <c r="AK59" i="73"/>
  <c r="AJ59" i="73"/>
  <c r="AI59" i="73"/>
  <c r="L59" i="73"/>
  <c r="M59" i="73" s="1"/>
  <c r="F59" i="73"/>
  <c r="AZ58" i="73"/>
  <c r="AR58" i="73"/>
  <c r="AQ58" i="73"/>
  <c r="AP58" i="73"/>
  <c r="AO58" i="73"/>
  <c r="AN58" i="73"/>
  <c r="AM58" i="73"/>
  <c r="AL58" i="73"/>
  <c r="AK58" i="73"/>
  <c r="AJ58" i="73"/>
  <c r="AI58" i="73"/>
  <c r="N58" i="73"/>
  <c r="L58" i="73"/>
  <c r="M58" i="73" s="1"/>
  <c r="BI57" i="73"/>
  <c r="BH57" i="73"/>
  <c r="BG57" i="73"/>
  <c r="AP57" i="73" s="1"/>
  <c r="BF57" i="73"/>
  <c r="BF37" i="73" s="1"/>
  <c r="BE57" i="73"/>
  <c r="BD57" i="73"/>
  <c r="AR57" i="73"/>
  <c r="AQ57" i="73"/>
  <c r="AO57" i="73"/>
  <c r="AN57" i="73"/>
  <c r="AM57" i="73"/>
  <c r="AL57" i="73"/>
  <c r="AK57" i="73"/>
  <c r="AJ57" i="73"/>
  <c r="AI57" i="73"/>
  <c r="BS56" i="73"/>
  <c r="BR56" i="73"/>
  <c r="AZ56" i="73"/>
  <c r="AR56" i="73"/>
  <c r="AQ56" i="73"/>
  <c r="AP56" i="73"/>
  <c r="AO56" i="73"/>
  <c r="AN56" i="73"/>
  <c r="AM56" i="73"/>
  <c r="AL56" i="73"/>
  <c r="AH56" i="73"/>
  <c r="M56" i="73"/>
  <c r="L56" i="73"/>
  <c r="BR55" i="73"/>
  <c r="BQ55" i="73"/>
  <c r="AZ55" i="73"/>
  <c r="AR55" i="73"/>
  <c r="AQ55" i="73"/>
  <c r="AP55" i="73"/>
  <c r="AO55" i="73"/>
  <c r="AN55" i="73"/>
  <c r="AM55" i="73"/>
  <c r="AL55" i="73"/>
  <c r="M55" i="73"/>
  <c r="L55" i="73"/>
  <c r="F55" i="73"/>
  <c r="AZ54" i="73"/>
  <c r="AR54" i="73"/>
  <c r="AQ54" i="73"/>
  <c r="AP54" i="73"/>
  <c r="AO54" i="73"/>
  <c r="AN54" i="73"/>
  <c r="AM54" i="73"/>
  <c r="AL54" i="73"/>
  <c r="L54" i="73"/>
  <c r="M54" i="73" s="1"/>
  <c r="F54" i="73"/>
  <c r="AH53" i="73"/>
  <c r="AZ53" i="73"/>
  <c r="AR53" i="73"/>
  <c r="AQ53" i="73"/>
  <c r="AP53" i="73"/>
  <c r="AO53" i="73"/>
  <c r="AN53" i="73"/>
  <c r="AM53" i="73"/>
  <c r="AL53" i="73"/>
  <c r="L53" i="73"/>
  <c r="M53" i="73" s="1"/>
  <c r="F53" i="73"/>
  <c r="BR52" i="73"/>
  <c r="AZ52" i="73"/>
  <c r="AR52" i="73"/>
  <c r="AQ52" i="73"/>
  <c r="AP52" i="73"/>
  <c r="AO52" i="73"/>
  <c r="AM52" i="73"/>
  <c r="AL52" i="73"/>
  <c r="AK52" i="73"/>
  <c r="AJ52" i="73"/>
  <c r="AI52" i="73"/>
  <c r="M52" i="73"/>
  <c r="L52" i="73"/>
  <c r="BS51" i="73"/>
  <c r="AZ51" i="73"/>
  <c r="AI51" i="73" s="1"/>
  <c r="AR51" i="73"/>
  <c r="AQ51" i="73"/>
  <c r="AP51" i="73"/>
  <c r="AO51" i="73"/>
  <c r="AM51" i="73"/>
  <c r="AL51" i="73"/>
  <c r="AK51" i="73"/>
  <c r="AJ51" i="73"/>
  <c r="L51" i="73"/>
  <c r="M51" i="73" s="1"/>
  <c r="BS50" i="73"/>
  <c r="AZ50" i="73"/>
  <c r="AR50" i="73"/>
  <c r="AQ50" i="73"/>
  <c r="AP50" i="73"/>
  <c r="AO50" i="73"/>
  <c r="AM50" i="73"/>
  <c r="AL50" i="73"/>
  <c r="AH50" i="73"/>
  <c r="L50" i="73"/>
  <c r="M50" i="73" s="1"/>
  <c r="BP49" i="73"/>
  <c r="AZ49" i="73"/>
  <c r="AR49" i="73"/>
  <c r="AQ49" i="73"/>
  <c r="AP49" i="73"/>
  <c r="AO49" i="73"/>
  <c r="AM49" i="73"/>
  <c r="AL49" i="73"/>
  <c r="AH49" i="73"/>
  <c r="M49" i="73"/>
  <c r="L49" i="73"/>
  <c r="BS48" i="73"/>
  <c r="BR48" i="73"/>
  <c r="AZ48" i="73"/>
  <c r="AR48" i="73"/>
  <c r="AQ48" i="73"/>
  <c r="AP48" i="73"/>
  <c r="AO48" i="73"/>
  <c r="AN48" i="73"/>
  <c r="AM48" i="73"/>
  <c r="AL48" i="73"/>
  <c r="AH48" i="73"/>
  <c r="M48" i="73"/>
  <c r="L48" i="73"/>
  <c r="F48" i="73"/>
  <c r="AZ47" i="73"/>
  <c r="AR47" i="73"/>
  <c r="AQ47" i="73"/>
  <c r="AP47" i="73"/>
  <c r="AO47" i="73"/>
  <c r="AN47" i="73"/>
  <c r="AM47" i="73"/>
  <c r="AL47" i="73"/>
  <c r="AH47" i="73"/>
  <c r="L47" i="73"/>
  <c r="M47" i="73" s="1"/>
  <c r="F47" i="73"/>
  <c r="BR46" i="73"/>
  <c r="AZ46" i="73"/>
  <c r="AR46" i="73"/>
  <c r="AQ46" i="73"/>
  <c r="AP46" i="73"/>
  <c r="AO46" i="73"/>
  <c r="AM46" i="73"/>
  <c r="AL46" i="73"/>
  <c r="AK46" i="73"/>
  <c r="AJ46" i="73"/>
  <c r="AI46" i="73"/>
  <c r="M46" i="73"/>
  <c r="L46" i="73"/>
  <c r="AZ45" i="73"/>
  <c r="AI45" i="73" s="1"/>
  <c r="AI37" i="73" s="1"/>
  <c r="AR45" i="73"/>
  <c r="AQ45" i="73"/>
  <c r="AP45" i="73"/>
  <c r="AO45" i="73"/>
  <c r="AM45" i="73"/>
  <c r="AL45" i="73"/>
  <c r="AK45" i="73"/>
  <c r="AJ45" i="73"/>
  <c r="L45" i="73"/>
  <c r="M45" i="73" s="1"/>
  <c r="BS44" i="73"/>
  <c r="BQ44" i="73"/>
  <c r="BR44" i="73"/>
  <c r="AZ44" i="73"/>
  <c r="AR44" i="73"/>
  <c r="AQ44" i="73"/>
  <c r="AP44" i="73"/>
  <c r="AO44" i="73"/>
  <c r="AM44" i="73"/>
  <c r="AL44" i="73"/>
  <c r="AK44" i="73"/>
  <c r="AJ44" i="73"/>
  <c r="AI44" i="73"/>
  <c r="M44" i="73"/>
  <c r="L44" i="73"/>
  <c r="F44" i="73"/>
  <c r="BP43" i="73"/>
  <c r="AZ43" i="73"/>
  <c r="AI43" i="73" s="1"/>
  <c r="AR43" i="73"/>
  <c r="AQ43" i="73"/>
  <c r="AP43" i="73"/>
  <c r="AO43" i="73"/>
  <c r="AM43" i="73"/>
  <c r="AL43" i="73"/>
  <c r="AK43" i="73"/>
  <c r="AJ43" i="73"/>
  <c r="L43" i="73"/>
  <c r="M43" i="73" s="1"/>
  <c r="F43" i="73"/>
  <c r="BS42" i="73"/>
  <c r="AR42" i="73"/>
  <c r="AQ42" i="73"/>
  <c r="AP42" i="73"/>
  <c r="AO42" i="73"/>
  <c r="AM42" i="73"/>
  <c r="AL42" i="73"/>
  <c r="L42" i="73"/>
  <c r="M42" i="73" s="1"/>
  <c r="F42" i="73"/>
  <c r="BR41" i="73"/>
  <c r="AR41" i="73"/>
  <c r="AQ41" i="73"/>
  <c r="AP41" i="73"/>
  <c r="AO41" i="73"/>
  <c r="AM41" i="73"/>
  <c r="AL41" i="73"/>
  <c r="L41" i="73"/>
  <c r="M41" i="73" s="1"/>
  <c r="F41" i="73"/>
  <c r="BS40" i="73"/>
  <c r="AR40" i="73"/>
  <c r="AQ40" i="73"/>
  <c r="AP40" i="73"/>
  <c r="AO40" i="73"/>
  <c r="AM40" i="73"/>
  <c r="AL40" i="73"/>
  <c r="BS39" i="73"/>
  <c r="AR39" i="73"/>
  <c r="AQ39" i="73"/>
  <c r="AP39" i="73"/>
  <c r="AO39" i="73"/>
  <c r="AM39" i="73"/>
  <c r="AL39" i="73"/>
  <c r="M39" i="73"/>
  <c r="L39" i="73"/>
  <c r="BR38" i="73"/>
  <c r="AZ38" i="73"/>
  <c r="AR38" i="73"/>
  <c r="AQ38" i="73"/>
  <c r="AP38" i="73"/>
  <c r="AO38" i="73"/>
  <c r="AN38" i="73"/>
  <c r="AM38" i="73"/>
  <c r="AL38" i="73"/>
  <c r="AK38" i="73"/>
  <c r="AJ38" i="73"/>
  <c r="AJ37" i="73" s="1"/>
  <c r="AI38" i="73"/>
  <c r="AF38" i="73"/>
  <c r="M38" i="73"/>
  <c r="M37" i="73" s="1"/>
  <c r="L38" i="73"/>
  <c r="F38" i="73"/>
  <c r="BJ37" i="73"/>
  <c r="BI37" i="73"/>
  <c r="BI32" i="73" s="1"/>
  <c r="BH37" i="73"/>
  <c r="BH33" i="73" s="1"/>
  <c r="BG37" i="73"/>
  <c r="BG33" i="73" s="1"/>
  <c r="BE37" i="73"/>
  <c r="BE33" i="73" s="1"/>
  <c r="BD37" i="73"/>
  <c r="BC37" i="73"/>
  <c r="BB37" i="73"/>
  <c r="BA37" i="73"/>
  <c r="BA33" i="73" s="1"/>
  <c r="AY37" i="73"/>
  <c r="AX37" i="73"/>
  <c r="AW37" i="73"/>
  <c r="AV37" i="73"/>
  <c r="AU37" i="73"/>
  <c r="AT37" i="73"/>
  <c r="AS37" i="73"/>
  <c r="AN37" i="73"/>
  <c r="AF37" i="73"/>
  <c r="AE37" i="73"/>
  <c r="N37" i="73"/>
  <c r="K37" i="73"/>
  <c r="J37" i="73"/>
  <c r="I37" i="73"/>
  <c r="H37" i="73"/>
  <c r="H32" i="73" s="1"/>
  <c r="G37" i="73"/>
  <c r="E37" i="73"/>
  <c r="BS36" i="73"/>
  <c r="AR36" i="73"/>
  <c r="AP36" i="73"/>
  <c r="AP34" i="73" s="1"/>
  <c r="AO36" i="73"/>
  <c r="AO34" i="73" s="1"/>
  <c r="AM36" i="73"/>
  <c r="AL36" i="73"/>
  <c r="AJ36" i="73"/>
  <c r="M36" i="73"/>
  <c r="L36" i="73"/>
  <c r="F36" i="73"/>
  <c r="AR35" i="73"/>
  <c r="AR34" i="73" s="1"/>
  <c r="AP35" i="73"/>
  <c r="AM35" i="73"/>
  <c r="AL35" i="73"/>
  <c r="AL34" i="73" s="1"/>
  <c r="AJ35" i="73"/>
  <c r="AJ34" i="73" s="1"/>
  <c r="L35" i="73"/>
  <c r="F35" i="73"/>
  <c r="BJ34" i="73"/>
  <c r="BI34" i="73"/>
  <c r="BH34" i="73"/>
  <c r="BG34" i="73"/>
  <c r="BF34" i="73"/>
  <c r="BE34" i="73"/>
  <c r="BD34" i="73"/>
  <c r="BC34" i="73"/>
  <c r="BB34" i="73"/>
  <c r="BA34" i="73"/>
  <c r="AZ34" i="73"/>
  <c r="AY34" i="73"/>
  <c r="AY32" i="73" s="1"/>
  <c r="AX34" i="73"/>
  <c r="AW34" i="73"/>
  <c r="AV34" i="73"/>
  <c r="AV32" i="73" s="1"/>
  <c r="AU34" i="73"/>
  <c r="AU32" i="73" s="1"/>
  <c r="AT34" i="73"/>
  <c r="AS34" i="73"/>
  <c r="AQ34" i="73"/>
  <c r="AN34" i="73"/>
  <c r="AM34" i="73"/>
  <c r="AK34" i="73"/>
  <c r="AI34" i="73"/>
  <c r="AF34" i="73"/>
  <c r="AE34" i="73"/>
  <c r="AC34" i="73"/>
  <c r="AC33" i="73" s="1"/>
  <c r="AB34" i="73"/>
  <c r="AA34" i="73"/>
  <c r="AA32" i="73" s="1"/>
  <c r="Z34" i="73"/>
  <c r="Z32" i="73" s="1"/>
  <c r="Y34" i="73"/>
  <c r="Y33" i="73" s="1"/>
  <c r="X34" i="73"/>
  <c r="W34" i="73"/>
  <c r="W32" i="73" s="1"/>
  <c r="V34" i="73"/>
  <c r="V32" i="73" s="1"/>
  <c r="U34" i="73"/>
  <c r="U33" i="73" s="1"/>
  <c r="T34" i="73"/>
  <c r="S34" i="73"/>
  <c r="S32" i="73" s="1"/>
  <c r="R34" i="73"/>
  <c r="R32" i="73" s="1"/>
  <c r="Q34" i="73"/>
  <c r="Q33" i="73" s="1"/>
  <c r="P34" i="73"/>
  <c r="O34" i="73"/>
  <c r="O32" i="73" s="1"/>
  <c r="N34" i="73"/>
  <c r="K34" i="73"/>
  <c r="J34" i="73"/>
  <c r="I34" i="73"/>
  <c r="I32" i="73" s="1"/>
  <c r="H34" i="73"/>
  <c r="G34" i="73"/>
  <c r="F34" i="73"/>
  <c r="E34" i="73"/>
  <c r="BI33" i="73"/>
  <c r="BC33" i="73"/>
  <c r="AV33" i="73"/>
  <c r="AE33" i="73"/>
  <c r="AD33" i="73"/>
  <c r="AB33" i="73"/>
  <c r="AA33" i="73"/>
  <c r="Z33" i="73"/>
  <c r="X33" i="73"/>
  <c r="W33" i="73"/>
  <c r="T33" i="73"/>
  <c r="S33" i="73"/>
  <c r="P33" i="73"/>
  <c r="O33" i="73"/>
  <c r="BE32" i="73"/>
  <c r="BA32" i="73"/>
  <c r="AC32" i="73"/>
  <c r="AB32" i="73"/>
  <c r="Y32" i="73"/>
  <c r="X32" i="73"/>
  <c r="U32" i="73"/>
  <c r="T32" i="73"/>
  <c r="Q32" i="73"/>
  <c r="P32" i="73"/>
  <c r="D32" i="73"/>
  <c r="BW31" i="73"/>
  <c r="BG31" i="73"/>
  <c r="AY31" i="73"/>
  <c r="AU31" i="73"/>
  <c r="AQ31" i="73"/>
  <c r="AM31" i="73"/>
  <c r="AI31" i="73"/>
  <c r="AF31" i="73"/>
  <c r="AE31" i="73"/>
  <c r="AA31" i="73"/>
  <c r="W31" i="73"/>
  <c r="S31" i="73"/>
  <c r="O31" i="73"/>
  <c r="G31" i="73"/>
  <c r="BX30" i="73"/>
  <c r="BV30" i="73"/>
  <c r="BI30" i="73"/>
  <c r="BG30" i="73"/>
  <c r="BF30" i="73"/>
  <c r="BE30" i="73"/>
  <c r="BD30" i="73"/>
  <c r="AY30" i="73"/>
  <c r="AX30" i="73"/>
  <c r="AW30" i="73"/>
  <c r="AW31" i="73" s="1"/>
  <c r="AV30" i="73"/>
  <c r="AV31" i="73" s="1"/>
  <c r="AU30" i="73"/>
  <c r="AT30" i="73"/>
  <c r="AS30" i="73"/>
  <c r="AR30" i="73"/>
  <c r="AR31" i="73" s="1"/>
  <c r="AQ30" i="73"/>
  <c r="AP30" i="73"/>
  <c r="AO30" i="73"/>
  <c r="AO31" i="73" s="1"/>
  <c r="AM30" i="73"/>
  <c r="AL30" i="73"/>
  <c r="AK30" i="73"/>
  <c r="AK31" i="73" s="1"/>
  <c r="AJ30" i="73"/>
  <c r="AJ31" i="73" s="1"/>
  <c r="AI30" i="73"/>
  <c r="AF30" i="73"/>
  <c r="AE30" i="73"/>
  <c r="AC30" i="73"/>
  <c r="AC31" i="73" s="1"/>
  <c r="AB30" i="73"/>
  <c r="AA30" i="73"/>
  <c r="Y30" i="73"/>
  <c r="Y31" i="73" s="1"/>
  <c r="X30" i="73"/>
  <c r="X31" i="73" s="1"/>
  <c r="W30" i="73"/>
  <c r="U30" i="73"/>
  <c r="U31" i="73" s="1"/>
  <c r="T30" i="73"/>
  <c r="T31" i="73" s="1"/>
  <c r="S30" i="73"/>
  <c r="Q30" i="73"/>
  <c r="P30" i="73"/>
  <c r="P31" i="73" s="1"/>
  <c r="O30" i="73"/>
  <c r="M30" i="73"/>
  <c r="H30" i="73"/>
  <c r="H31" i="73" s="1"/>
  <c r="G30" i="73"/>
  <c r="E30" i="73"/>
  <c r="D30" i="73"/>
  <c r="D31" i="73" s="1"/>
  <c r="AZ29" i="73"/>
  <c r="BL29" i="73" s="1"/>
  <c r="AN29" i="73"/>
  <c r="AN30" i="73" s="1"/>
  <c r="AN31" i="73" s="1"/>
  <c r="Z29" i="73"/>
  <c r="V29" i="73"/>
  <c r="R29" i="73"/>
  <c r="M29" i="73"/>
  <c r="L29" i="73"/>
  <c r="BL28" i="73"/>
  <c r="BY28" i="73" s="1"/>
  <c r="AZ28" i="73"/>
  <c r="AG28" i="73"/>
  <c r="AD28" i="73"/>
  <c r="Z28" i="73"/>
  <c r="V28" i="73"/>
  <c r="R28" i="73"/>
  <c r="M28" i="73"/>
  <c r="L28" i="73"/>
  <c r="BL27" i="73"/>
  <c r="AZ27" i="73"/>
  <c r="AD27" i="73"/>
  <c r="Z27" i="73"/>
  <c r="V27" i="73"/>
  <c r="R27" i="73"/>
  <c r="M27" i="73"/>
  <c r="L27" i="73"/>
  <c r="BY26" i="73"/>
  <c r="BL26" i="73"/>
  <c r="BS26" i="73" s="1"/>
  <c r="AG26" i="73"/>
  <c r="BN26" i="73" s="1"/>
  <c r="Z26" i="73"/>
  <c r="V26" i="73"/>
  <c r="R26" i="73"/>
  <c r="AD26" i="73" s="1"/>
  <c r="L26" i="73"/>
  <c r="M26" i="73" s="1"/>
  <c r="BF25" i="73"/>
  <c r="BE25" i="73"/>
  <c r="BC25" i="73"/>
  <c r="BL25" i="73" s="1"/>
  <c r="BR25" i="73" s="1"/>
  <c r="Z25" i="73"/>
  <c r="V25" i="73"/>
  <c r="R25" i="73"/>
  <c r="AD25" i="73" s="1"/>
  <c r="N25" i="73"/>
  <c r="J25" i="73"/>
  <c r="L25" i="73" s="1"/>
  <c r="M25" i="73" s="1"/>
  <c r="BF24" i="73"/>
  <c r="BE24" i="73"/>
  <c r="Z24" i="73"/>
  <c r="V24" i="73"/>
  <c r="R24" i="73"/>
  <c r="N24" i="73"/>
  <c r="L24" i="73"/>
  <c r="M24" i="73" s="1"/>
  <c r="F24" i="73"/>
  <c r="BI23" i="73"/>
  <c r="BF23" i="73"/>
  <c r="BC23" i="73"/>
  <c r="BL23" i="73" s="1"/>
  <c r="Z23" i="73"/>
  <c r="V23" i="73"/>
  <c r="AD23" i="73" s="1"/>
  <c r="R23" i="73"/>
  <c r="N23" i="73"/>
  <c r="L23" i="73"/>
  <c r="M23" i="73" s="1"/>
  <c r="BL22" i="73"/>
  <c r="BT22" i="73" s="1"/>
  <c r="Z22" i="73"/>
  <c r="R22" i="73"/>
  <c r="N22" i="73"/>
  <c r="L22" i="73"/>
  <c r="M22" i="73" s="1"/>
  <c r="F22" i="73"/>
  <c r="BH21" i="73"/>
  <c r="BL21" i="73" s="1"/>
  <c r="AZ21" i="73"/>
  <c r="Z21" i="73"/>
  <c r="R21" i="73"/>
  <c r="N21" i="73"/>
  <c r="M21" i="73"/>
  <c r="L21" i="73"/>
  <c r="F21" i="73"/>
  <c r="F30" i="73" s="1"/>
  <c r="F31" i="73" s="1"/>
  <c r="BW20" i="73"/>
  <c r="BW30" i="73" s="1"/>
  <c r="BA20" i="73"/>
  <c r="BL20" i="73" s="1"/>
  <c r="AG20" i="73"/>
  <c r="Z20" i="73"/>
  <c r="V20" i="73"/>
  <c r="AD20" i="73" s="1"/>
  <c r="R20" i="73"/>
  <c r="N20" i="73"/>
  <c r="L20" i="73"/>
  <c r="M20" i="73" s="1"/>
  <c r="J20" i="73"/>
  <c r="BF19" i="73"/>
  <c r="BC19" i="73"/>
  <c r="BB19" i="73"/>
  <c r="BB30" i="73" s="1"/>
  <c r="Z19" i="73"/>
  <c r="V19" i="73"/>
  <c r="R19" i="73"/>
  <c r="AD19" i="73" s="1"/>
  <c r="N19" i="73"/>
  <c r="L19" i="73"/>
  <c r="M19" i="73" s="1"/>
  <c r="BL18" i="73"/>
  <c r="BT18" i="73" s="1"/>
  <c r="AZ18" i="73"/>
  <c r="AD18" i="73"/>
  <c r="Z18" i="73"/>
  <c r="V18" i="73"/>
  <c r="R18" i="73"/>
  <c r="N18" i="73"/>
  <c r="M18" i="73"/>
  <c r="L18" i="73"/>
  <c r="I18" i="73"/>
  <c r="BL17" i="73"/>
  <c r="BT17" i="73" s="1"/>
  <c r="BF17" i="73"/>
  <c r="BC17" i="73"/>
  <c r="Z17" i="73"/>
  <c r="Z30" i="73" s="1"/>
  <c r="V17" i="73"/>
  <c r="R17" i="73"/>
  <c r="AD17" i="73" s="1"/>
  <c r="N17" i="73"/>
  <c r="K17" i="73"/>
  <c r="K30" i="73" s="1"/>
  <c r="K31" i="73" s="1"/>
  <c r="J17" i="73"/>
  <c r="I17" i="73"/>
  <c r="I30" i="73" s="1"/>
  <c r="BQ16" i="73"/>
  <c r="BL16" i="73"/>
  <c r="AD16" i="73"/>
  <c r="BL15" i="73"/>
  <c r="BP15" i="73" s="1"/>
  <c r="AZ15" i="73"/>
  <c r="Z15" i="73"/>
  <c r="V15" i="73"/>
  <c r="V30" i="73" s="1"/>
  <c r="R15" i="73"/>
  <c r="N15" i="73"/>
  <c r="L15" i="73"/>
  <c r="M15" i="73" s="1"/>
  <c r="BW14" i="73"/>
  <c r="BV14" i="73"/>
  <c r="BJ14" i="73"/>
  <c r="BG14" i="73"/>
  <c r="BD14" i="73"/>
  <c r="BA14" i="73"/>
  <c r="AZ14" i="73"/>
  <c r="AY14" i="73"/>
  <c r="AX14" i="73"/>
  <c r="AW14" i="73"/>
  <c r="AV14" i="73"/>
  <c r="AU14" i="73"/>
  <c r="AT14" i="73"/>
  <c r="AS14" i="73"/>
  <c r="AH14" i="73" s="1"/>
  <c r="AR14" i="73"/>
  <c r="AQ14" i="73"/>
  <c r="AP14" i="73"/>
  <c r="AO14" i="73"/>
  <c r="AN14" i="73"/>
  <c r="AM14" i="73"/>
  <c r="AL14" i="73"/>
  <c r="AL31" i="73" s="1"/>
  <c r="AK14" i="73"/>
  <c r="AJ14" i="73"/>
  <c r="AI14" i="73"/>
  <c r="AF14" i="73"/>
  <c r="AE14" i="73"/>
  <c r="AC14" i="73"/>
  <c r="AB14" i="73"/>
  <c r="AB31" i="73" s="1"/>
  <c r="AA14" i="73"/>
  <c r="Y14" i="73"/>
  <c r="X14" i="73"/>
  <c r="W14" i="73"/>
  <c r="U14" i="73"/>
  <c r="T14" i="73"/>
  <c r="S14" i="73"/>
  <c r="Q14" i="73"/>
  <c r="P14" i="73"/>
  <c r="O14" i="73"/>
  <c r="H14" i="73"/>
  <c r="G14" i="73"/>
  <c r="F14" i="73"/>
  <c r="E14" i="73"/>
  <c r="D14" i="73"/>
  <c r="BI13" i="73"/>
  <c r="BH13" i="73"/>
  <c r="BF13" i="73"/>
  <c r="BE13" i="73"/>
  <c r="BC13" i="73"/>
  <c r="BB13" i="73"/>
  <c r="BL13" i="73" s="1"/>
  <c r="AD13" i="73"/>
  <c r="Z13" i="73"/>
  <c r="V13" i="73"/>
  <c r="R13" i="73"/>
  <c r="N13" i="73"/>
  <c r="K13" i="73"/>
  <c r="L13" i="73" s="1"/>
  <c r="M13" i="73" s="1"/>
  <c r="J13" i="73"/>
  <c r="I13" i="73"/>
  <c r="I14" i="73" s="1"/>
  <c r="BI12" i="73"/>
  <c r="BH12" i="73"/>
  <c r="BF12" i="73"/>
  <c r="BE12" i="73"/>
  <c r="BC12" i="73"/>
  <c r="BL12" i="73" s="1"/>
  <c r="BB12" i="73"/>
  <c r="AD12" i="73"/>
  <c r="Z12" i="73"/>
  <c r="V12" i="73"/>
  <c r="R12" i="73"/>
  <c r="N12" i="73"/>
  <c r="K12" i="73"/>
  <c r="L12" i="73" s="1"/>
  <c r="M12" i="73" s="1"/>
  <c r="J12" i="73"/>
  <c r="I12" i="73"/>
  <c r="BI11" i="73"/>
  <c r="BH11" i="73"/>
  <c r="BF11" i="73"/>
  <c r="BE11" i="73"/>
  <c r="BC11" i="73"/>
  <c r="BL11" i="73" s="1"/>
  <c r="BB11" i="73"/>
  <c r="AD11" i="73"/>
  <c r="Z11" i="73"/>
  <c r="V11" i="73"/>
  <c r="R11" i="73"/>
  <c r="N11" i="73"/>
  <c r="M11" i="73"/>
  <c r="L11" i="73"/>
  <c r="BX10" i="73"/>
  <c r="BI10" i="73"/>
  <c r="BH10" i="73"/>
  <c r="BH14" i="73" s="1"/>
  <c r="BF10" i="73"/>
  <c r="BE10" i="73"/>
  <c r="BC10" i="73"/>
  <c r="BB10" i="73"/>
  <c r="BL10" i="73" s="1"/>
  <c r="Z10" i="73"/>
  <c r="V10" i="73"/>
  <c r="AD10" i="73" s="1"/>
  <c r="R10" i="73"/>
  <c r="N10" i="73"/>
  <c r="M10" i="73"/>
  <c r="K10" i="73"/>
  <c r="J10" i="73"/>
  <c r="I10" i="73"/>
  <c r="BX9" i="73"/>
  <c r="BX14" i="73" s="1"/>
  <c r="BI9" i="73"/>
  <c r="BF9" i="73"/>
  <c r="BE9" i="73"/>
  <c r="BC9" i="73"/>
  <c r="BB9" i="73"/>
  <c r="BL9" i="73" s="1"/>
  <c r="Z9" i="73"/>
  <c r="V9" i="73"/>
  <c r="AD9" i="73" s="1"/>
  <c r="R9" i="73"/>
  <c r="N9" i="73"/>
  <c r="L9" i="73"/>
  <c r="M9" i="73" s="1"/>
  <c r="K9" i="73"/>
  <c r="J9" i="73"/>
  <c r="I9" i="73"/>
  <c r="BC8" i="73"/>
  <c r="BB8" i="73"/>
  <c r="BL8" i="73" s="1"/>
  <c r="AD8" i="73"/>
  <c r="Z8" i="73"/>
  <c r="Z14" i="73" s="1"/>
  <c r="V8" i="73"/>
  <c r="R8" i="73"/>
  <c r="N8" i="73"/>
  <c r="M8" i="73"/>
  <c r="L8" i="73"/>
  <c r="BC7" i="73"/>
  <c r="BB7" i="73"/>
  <c r="BB14" i="73" s="1"/>
  <c r="Z7" i="73"/>
  <c r="V7" i="73"/>
  <c r="AD7" i="73" s="1"/>
  <c r="R7" i="73"/>
  <c r="N7" i="73"/>
  <c r="L7" i="73"/>
  <c r="M7" i="73" s="1"/>
  <c r="BI6" i="73"/>
  <c r="BH6" i="73"/>
  <c r="BF6" i="73"/>
  <c r="BE6" i="73"/>
  <c r="BC6" i="73"/>
  <c r="BL6" i="73" s="1"/>
  <c r="BB6" i="73"/>
  <c r="AD6" i="73"/>
  <c r="Z6" i="73"/>
  <c r="V6" i="73"/>
  <c r="R6" i="73"/>
  <c r="N6" i="73"/>
  <c r="N14" i="73" s="1"/>
  <c r="K6" i="73"/>
  <c r="L6" i="73" s="1"/>
  <c r="M6" i="73" s="1"/>
  <c r="J6" i="73"/>
  <c r="J14" i="73" s="1"/>
  <c r="I6" i="73"/>
  <c r="BL5" i="73"/>
  <c r="BY5" i="73" s="1"/>
  <c r="BI5" i="73"/>
  <c r="BH5" i="73"/>
  <c r="BF5" i="73"/>
  <c r="BE5" i="73"/>
  <c r="BC5" i="73"/>
  <c r="BB5" i="73"/>
  <c r="Z5" i="73"/>
  <c r="V5" i="73"/>
  <c r="R5" i="73"/>
  <c r="AD5" i="73" s="1"/>
  <c r="N5" i="73"/>
  <c r="K5" i="73"/>
  <c r="L5" i="73" s="1"/>
  <c r="M5" i="73" s="1"/>
  <c r="J5" i="73"/>
  <c r="BI4" i="73"/>
  <c r="BH4" i="73"/>
  <c r="BF4" i="73"/>
  <c r="BF14" i="73" s="1"/>
  <c r="BE4" i="73"/>
  <c r="BE14" i="73" s="1"/>
  <c r="BC4" i="73"/>
  <c r="BB4" i="73"/>
  <c r="Z4" i="73"/>
  <c r="V4" i="73"/>
  <c r="R4" i="73"/>
  <c r="AD4" i="73" s="1"/>
  <c r="N4" i="73"/>
  <c r="K4" i="73"/>
  <c r="K14" i="73" s="1"/>
  <c r="J4" i="73"/>
  <c r="I4" i="73"/>
  <c r="BB33" i="73" l="1"/>
  <c r="AL106" i="73"/>
  <c r="BL111" i="73"/>
  <c r="BQ111" i="73" s="1"/>
  <c r="BC32" i="73"/>
  <c r="AT33" i="73"/>
  <c r="AX32" i="73"/>
  <c r="AX124" i="73" s="1"/>
  <c r="BF33" i="73"/>
  <c r="AR106" i="73"/>
  <c r="J32" i="73"/>
  <c r="J33" i="73" s="1"/>
  <c r="BH32" i="73"/>
  <c r="BH124" i="73" s="1"/>
  <c r="AJ106" i="73"/>
  <c r="AJ32" i="73" s="1"/>
  <c r="AJ124" i="73" s="1"/>
  <c r="AO106" i="73"/>
  <c r="BL110" i="73"/>
  <c r="AH110" i="73" s="1"/>
  <c r="AH114" i="73"/>
  <c r="BQ69" i="73"/>
  <c r="BS113" i="73"/>
  <c r="BR114" i="73"/>
  <c r="AS32" i="73"/>
  <c r="BS66" i="73"/>
  <c r="BP72" i="73"/>
  <c r="BS83" i="73"/>
  <c r="AH87" i="73"/>
  <c r="BQ87" i="73"/>
  <c r="BR105" i="73"/>
  <c r="BS114" i="73"/>
  <c r="AH98" i="73"/>
  <c r="AH119" i="73"/>
  <c r="BR120" i="73"/>
  <c r="AU124" i="73"/>
  <c r="AE32" i="73"/>
  <c r="AE124" i="73" s="1"/>
  <c r="BR87" i="73"/>
  <c r="BS88" i="73"/>
  <c r="BS105" i="73"/>
  <c r="AH120" i="73"/>
  <c r="BQ39" i="73"/>
  <c r="AH42" i="73"/>
  <c r="AH78" i="73"/>
  <c r="AH82" i="73"/>
  <c r="BP82" i="73"/>
  <c r="BT26" i="73"/>
  <c r="BU28" i="73"/>
  <c r="BP28" i="73"/>
  <c r="BR39" i="73"/>
  <c r="BS41" i="73"/>
  <c r="BR42" i="73"/>
  <c r="BS52" i="73"/>
  <c r="BR65" i="73"/>
  <c r="BR74" i="73"/>
  <c r="BQ79" i="73"/>
  <c r="BS81" i="73"/>
  <c r="BQ82" i="73"/>
  <c r="BQ85" i="73"/>
  <c r="AH88" i="73"/>
  <c r="BQ88" i="73"/>
  <c r="BQ92" i="73"/>
  <c r="BS99" i="73"/>
  <c r="BR121" i="73"/>
  <c r="AH65" i="73"/>
  <c r="AH41" i="73"/>
  <c r="BQ41" i="73"/>
  <c r="BQ42" i="73"/>
  <c r="BQ52" i="73"/>
  <c r="BR59" i="73"/>
  <c r="AH81" i="73"/>
  <c r="AH92" i="73"/>
  <c r="BP92" i="73"/>
  <c r="BO26" i="73"/>
  <c r="BU26" i="73"/>
  <c r="BN28" i="73"/>
  <c r="BR79" i="73"/>
  <c r="BR82" i="73"/>
  <c r="AH86" i="73"/>
  <c r="BS92" i="73"/>
  <c r="AH121" i="73"/>
  <c r="BU121" i="73"/>
  <c r="BJ33" i="73"/>
  <c r="BJ32" i="73"/>
  <c r="BR22" i="73"/>
  <c r="BO22" i="73"/>
  <c r="BS93" i="73"/>
  <c r="BQ93" i="73"/>
  <c r="BQ89" i="73"/>
  <c r="BS89" i="73"/>
  <c r="AH59" i="73"/>
  <c r="BP59" i="73"/>
  <c r="BQ59" i="73"/>
  <c r="BQ46" i="73"/>
  <c r="AH46" i="73"/>
  <c r="BP46" i="73"/>
  <c r="BS46" i="73"/>
  <c r="BP38" i="73"/>
  <c r="AH38" i="73"/>
  <c r="BQ38" i="73"/>
  <c r="BS38" i="73"/>
  <c r="BS22" i="73"/>
  <c r="BN22" i="73"/>
  <c r="BU22" i="73"/>
  <c r="BQ22" i="73"/>
  <c r="BY22" i="73"/>
  <c r="BS25" i="73"/>
  <c r="BR77" i="73"/>
  <c r="AH76" i="73"/>
  <c r="BP76" i="73"/>
  <c r="BQ76" i="73"/>
  <c r="AS33" i="73"/>
  <c r="BL34" i="73"/>
  <c r="AH36" i="73"/>
  <c r="BP36" i="73"/>
  <c r="BM30" i="73"/>
  <c r="BP17" i="73"/>
  <c r="BU17" i="73"/>
  <c r="BM14" i="73"/>
  <c r="BJ31" i="73"/>
  <c r="BL14" i="73"/>
  <c r="AT31" i="73"/>
  <c r="AT124" i="73" s="1"/>
  <c r="AH30" i="73"/>
  <c r="AH31" i="73" s="1"/>
  <c r="AS31" i="73"/>
  <c r="BN4" i="73"/>
  <c r="AG14" i="73"/>
  <c r="BS8" i="73"/>
  <c r="BY8" i="73"/>
  <c r="BR8" i="73"/>
  <c r="BU8" i="73"/>
  <c r="BQ8" i="73"/>
  <c r="BT8" i="73"/>
  <c r="BP8" i="73"/>
  <c r="BO8" i="73"/>
  <c r="BN8" i="73"/>
  <c r="BQ11" i="73"/>
  <c r="BP11" i="73"/>
  <c r="BR11" i="73"/>
  <c r="BN11" i="73"/>
  <c r="BU11" i="73"/>
  <c r="BT11" i="73"/>
  <c r="BS11" i="73"/>
  <c r="BO11" i="73"/>
  <c r="I124" i="73"/>
  <c r="I33" i="73"/>
  <c r="BB31" i="73"/>
  <c r="BY29" i="73"/>
  <c r="BR29" i="73"/>
  <c r="BS29" i="73"/>
  <c r="BO29" i="73"/>
  <c r="BT29" i="73"/>
  <c r="BQ29" i="73"/>
  <c r="BU29" i="73"/>
  <c r="BN29" i="73"/>
  <c r="BY21" i="73"/>
  <c r="BR21" i="73"/>
  <c r="BT21" i="73"/>
  <c r="BN21" i="73"/>
  <c r="BS21" i="73"/>
  <c r="BQ21" i="73"/>
  <c r="BO21" i="73"/>
  <c r="BU21" i="73"/>
  <c r="BO10" i="73"/>
  <c r="BR10" i="73"/>
  <c r="BQ10" i="73"/>
  <c r="BT10" i="73"/>
  <c r="BP10" i="73"/>
  <c r="BY10" i="73"/>
  <c r="BS10" i="73"/>
  <c r="BN10" i="73"/>
  <c r="BU10" i="73"/>
  <c r="BY13" i="73"/>
  <c r="BR13" i="73"/>
  <c r="BN13" i="73"/>
  <c r="BQ13" i="73"/>
  <c r="BU13" i="73"/>
  <c r="BP13" i="73"/>
  <c r="BT13" i="73"/>
  <c r="BO13" i="73"/>
  <c r="BS13" i="73"/>
  <c r="BT9" i="73"/>
  <c r="BP9" i="73"/>
  <c r="BY9" i="73"/>
  <c r="BS9" i="73"/>
  <c r="BR9" i="73"/>
  <c r="BN9" i="73"/>
  <c r="BU9" i="73"/>
  <c r="BQ9" i="73"/>
  <c r="BO9" i="73"/>
  <c r="BQ12" i="73"/>
  <c r="BT12" i="73"/>
  <c r="BS12" i="73"/>
  <c r="BY12" i="73"/>
  <c r="BR12" i="73"/>
  <c r="BN12" i="73"/>
  <c r="BU12" i="73"/>
  <c r="BP12" i="73"/>
  <c r="BO12" i="73"/>
  <c r="AD14" i="73"/>
  <c r="BU6" i="73"/>
  <c r="BQ6" i="73"/>
  <c r="BT6" i="73"/>
  <c r="BY6" i="73"/>
  <c r="BR6" i="73"/>
  <c r="BN6" i="73"/>
  <c r="BP6" i="73"/>
  <c r="BS6" i="73"/>
  <c r="BO6" i="73"/>
  <c r="BP4" i="73"/>
  <c r="R14" i="73"/>
  <c r="Z31" i="73"/>
  <c r="BU20" i="73"/>
  <c r="BQ20" i="73"/>
  <c r="BP20" i="73"/>
  <c r="BR20" i="73"/>
  <c r="BY20" i="73"/>
  <c r="BY23" i="73"/>
  <c r="BR23" i="73"/>
  <c r="BN23" i="73"/>
  <c r="BQ23" i="73"/>
  <c r="BU23" i="73"/>
  <c r="BS27" i="73"/>
  <c r="BO27" i="73"/>
  <c r="BU27" i="73"/>
  <c r="BP27" i="73"/>
  <c r="BR27" i="73"/>
  <c r="BE31" i="73"/>
  <c r="N32" i="73"/>
  <c r="N124" i="73" s="1"/>
  <c r="N33" i="73"/>
  <c r="BR58" i="73"/>
  <c r="BQ58" i="73"/>
  <c r="BS58" i="73"/>
  <c r="BP58" i="73"/>
  <c r="BU120" i="73"/>
  <c r="L4" i="73"/>
  <c r="BQ4" i="73"/>
  <c r="BQ5" i="73"/>
  <c r="BS16" i="73"/>
  <c r="BN16" i="73"/>
  <c r="BR16" i="73"/>
  <c r="BP23" i="73"/>
  <c r="BN25" i="73"/>
  <c r="BT27" i="73"/>
  <c r="BF31" i="73"/>
  <c r="V33" i="73"/>
  <c r="AF33" i="73"/>
  <c r="AF32" i="73"/>
  <c r="AF124" i="73" s="1"/>
  <c r="M110" i="73"/>
  <c r="L106" i="73"/>
  <c r="BR4" i="73"/>
  <c r="BY4" i="73"/>
  <c r="BN5" i="73"/>
  <c r="BR5" i="73"/>
  <c r="BL7" i="73"/>
  <c r="BI14" i="73"/>
  <c r="BI31" i="73" s="1"/>
  <c r="BI124" i="73" s="1"/>
  <c r="N30" i="73"/>
  <c r="N31" i="73" s="1"/>
  <c r="AD15" i="73"/>
  <c r="BQ15" i="73"/>
  <c r="BY15" i="73"/>
  <c r="BU16" i="73"/>
  <c r="BS18" i="73"/>
  <c r="BT20" i="73"/>
  <c r="BS23" i="73"/>
  <c r="BY27" i="73"/>
  <c r="BC14" i="73"/>
  <c r="BO4" i="73"/>
  <c r="BS4" i="73"/>
  <c r="BO5" i="73"/>
  <c r="BS5" i="73"/>
  <c r="R30" i="73"/>
  <c r="R31" i="73" s="1"/>
  <c r="AG15" i="73"/>
  <c r="BR15" i="73"/>
  <c r="BO16" i="73"/>
  <c r="BY16" i="73"/>
  <c r="L17" i="73"/>
  <c r="M17" i="73" s="1"/>
  <c r="BC30" i="73"/>
  <c r="BN17" i="73"/>
  <c r="BO18" i="73"/>
  <c r="BL19" i="73"/>
  <c r="BO20" i="73"/>
  <c r="BT23" i="73"/>
  <c r="BQ27" i="73"/>
  <c r="BS28" i="73"/>
  <c r="BO28" i="73"/>
  <c r="BR28" i="73"/>
  <c r="BQ28" i="73"/>
  <c r="L30" i="73"/>
  <c r="Q31" i="73"/>
  <c r="AP31" i="73"/>
  <c r="AX31" i="73"/>
  <c r="BD31" i="73"/>
  <c r="BH30" i="73"/>
  <c r="BH31" i="73" s="1"/>
  <c r="BF32" i="73"/>
  <c r="BF124" i="73" s="1"/>
  <c r="G32" i="73"/>
  <c r="K32" i="73"/>
  <c r="AV124" i="73"/>
  <c r="BD32" i="73"/>
  <c r="BD33" i="73"/>
  <c r="M35" i="73"/>
  <c r="M34" i="73" s="1"/>
  <c r="L34" i="73"/>
  <c r="L32" i="73" s="1"/>
  <c r="F37" i="73"/>
  <c r="F32" i="73" s="1"/>
  <c r="BQ49" i="73"/>
  <c r="BR49" i="73"/>
  <c r="BS49" i="73"/>
  <c r="BQ54" i="73"/>
  <c r="BS54" i="73"/>
  <c r="AH54" i="73"/>
  <c r="BR54" i="73"/>
  <c r="BP54" i="73"/>
  <c r="BQ61" i="73"/>
  <c r="BR61" i="73"/>
  <c r="AH61" i="73"/>
  <c r="BP61" i="73"/>
  <c r="BS61" i="73"/>
  <c r="BQ64" i="73"/>
  <c r="BR64" i="73"/>
  <c r="AH64" i="73"/>
  <c r="BS64" i="73"/>
  <c r="BP64" i="73"/>
  <c r="BQ112" i="73"/>
  <c r="BR112" i="73"/>
  <c r="BS112" i="73"/>
  <c r="AH112" i="73"/>
  <c r="BQ115" i="73"/>
  <c r="BR115" i="73"/>
  <c r="BS115" i="73"/>
  <c r="BT4" i="73"/>
  <c r="BP5" i="73"/>
  <c r="BT5" i="73"/>
  <c r="V14" i="73"/>
  <c r="V31" i="73" s="1"/>
  <c r="I31" i="73"/>
  <c r="BU18" i="73"/>
  <c r="BQ18" i="73"/>
  <c r="BP18" i="73"/>
  <c r="BY18" i="73"/>
  <c r="BO23" i="73"/>
  <c r="BT28" i="73"/>
  <c r="D124" i="73"/>
  <c r="D33" i="73"/>
  <c r="AH58" i="73"/>
  <c r="BR94" i="73"/>
  <c r="BQ94" i="73"/>
  <c r="BS94" i="73"/>
  <c r="BP94" i="73"/>
  <c r="BQ109" i="73"/>
  <c r="BR109" i="73"/>
  <c r="AH109" i="73"/>
  <c r="BS109" i="73"/>
  <c r="BU4" i="73"/>
  <c r="BU5" i="73"/>
  <c r="BS17" i="73"/>
  <c r="BO17" i="73"/>
  <c r="BQ17" i="73"/>
  <c r="BY17" i="73"/>
  <c r="BR18" i="73"/>
  <c r="BS20" i="73"/>
  <c r="BT25" i="73"/>
  <c r="BP25" i="73"/>
  <c r="BU25" i="73"/>
  <c r="BO25" i="73"/>
  <c r="BY25" i="73"/>
  <c r="AZ30" i="73"/>
  <c r="AZ31" i="73" s="1"/>
  <c r="BV31" i="73"/>
  <c r="BB124" i="73"/>
  <c r="BP35" i="73"/>
  <c r="BQ35" i="73"/>
  <c r="AH35" i="73"/>
  <c r="BR35" i="73"/>
  <c r="AW33" i="73"/>
  <c r="AW32" i="73"/>
  <c r="AW124" i="73" s="1"/>
  <c r="BR57" i="73"/>
  <c r="AH57" i="73"/>
  <c r="BP57" i="73"/>
  <c r="BQ57" i="73"/>
  <c r="BS57" i="73"/>
  <c r="BP67" i="73"/>
  <c r="BQ67" i="73"/>
  <c r="BR67" i="73"/>
  <c r="BS67" i="73"/>
  <c r="AZ71" i="73"/>
  <c r="AR71" i="73"/>
  <c r="BS15" i="73"/>
  <c r="BO15" i="73"/>
  <c r="BR17" i="73"/>
  <c r="BN18" i="73"/>
  <c r="BN20" i="73"/>
  <c r="BQ25" i="73"/>
  <c r="BN27" i="73"/>
  <c r="J30" i="73"/>
  <c r="J31" i="73" s="1"/>
  <c r="J124" i="73" s="1"/>
  <c r="BA30" i="73"/>
  <c r="BA31" i="73" s="1"/>
  <c r="BA124" i="73" s="1"/>
  <c r="BX31" i="73"/>
  <c r="R33" i="73"/>
  <c r="BS35" i="73"/>
  <c r="H124" i="73"/>
  <c r="H33" i="73"/>
  <c r="L37" i="73"/>
  <c r="AR37" i="73"/>
  <c r="AR32" i="73" s="1"/>
  <c r="AR124" i="73" s="1"/>
  <c r="AO37" i="73"/>
  <c r="AO32" i="73" s="1"/>
  <c r="AO124" i="73" s="1"/>
  <c r="BP40" i="73"/>
  <c r="AH40" i="73"/>
  <c r="BQ40" i="73"/>
  <c r="BR40" i="73"/>
  <c r="BQ47" i="73"/>
  <c r="BP47" i="73"/>
  <c r="BS47" i="73"/>
  <c r="BR47" i="73"/>
  <c r="AN71" i="73"/>
  <c r="AN32" i="73" s="1"/>
  <c r="AN124" i="73" s="1"/>
  <c r="AI80" i="73"/>
  <c r="AI71" i="73" s="1"/>
  <c r="AD24" i="73"/>
  <c r="BL24" i="73"/>
  <c r="BQ26" i="73"/>
  <c r="E31" i="73"/>
  <c r="E124" i="73" s="1"/>
  <c r="BE124" i="73"/>
  <c r="AY124" i="73"/>
  <c r="BG32" i="73"/>
  <c r="BG124" i="73" s="1"/>
  <c r="BQ36" i="73"/>
  <c r="BR36" i="73"/>
  <c r="BP55" i="73"/>
  <c r="BS55" i="73"/>
  <c r="AH55" i="73"/>
  <c r="BR60" i="73"/>
  <c r="AH60" i="73"/>
  <c r="BQ60" i="73"/>
  <c r="BS60" i="73"/>
  <c r="BQ63" i="73"/>
  <c r="BR63" i="73"/>
  <c r="AH63" i="73"/>
  <c r="BS63" i="73"/>
  <c r="BQ68" i="73"/>
  <c r="BR68" i="73"/>
  <c r="AH68" i="73"/>
  <c r="BP74" i="73"/>
  <c r="BQ74" i="73"/>
  <c r="AH74" i="73"/>
  <c r="AK71" i="73"/>
  <c r="BQ78" i="73"/>
  <c r="BR78" i="73"/>
  <c r="BS78" i="73"/>
  <c r="BR86" i="73"/>
  <c r="BQ86" i="73"/>
  <c r="BS86" i="73"/>
  <c r="BR90" i="73"/>
  <c r="BP90" i="73"/>
  <c r="AH90" i="73"/>
  <c r="BQ90" i="73"/>
  <c r="BR91" i="73"/>
  <c r="BQ91" i="73"/>
  <c r="BS91" i="73"/>
  <c r="BP91" i="73"/>
  <c r="AH91" i="73"/>
  <c r="BQ98" i="73"/>
  <c r="BR98" i="73"/>
  <c r="BS98" i="73"/>
  <c r="BQ102" i="73"/>
  <c r="BR102" i="73"/>
  <c r="BS102" i="73"/>
  <c r="BR117" i="73"/>
  <c r="BS117" i="73"/>
  <c r="AH117" i="73"/>
  <c r="BQ117" i="73"/>
  <c r="AM37" i="73"/>
  <c r="AM33" i="73" s="1"/>
  <c r="AQ37" i="73"/>
  <c r="AQ33" i="73" s="1"/>
  <c r="AK37" i="73"/>
  <c r="BQ43" i="73"/>
  <c r="BR43" i="73"/>
  <c r="AH43" i="73"/>
  <c r="BS43" i="73"/>
  <c r="AZ37" i="73"/>
  <c r="BP48" i="73"/>
  <c r="BQ48" i="73"/>
  <c r="BR50" i="73"/>
  <c r="BP50" i="73"/>
  <c r="BQ50" i="73"/>
  <c r="BP51" i="73"/>
  <c r="AH51" i="73"/>
  <c r="BQ51" i="73"/>
  <c r="BR51" i="73"/>
  <c r="BR53" i="73"/>
  <c r="BQ53" i="73"/>
  <c r="BS53" i="73"/>
  <c r="BP56" i="73"/>
  <c r="BQ56" i="73"/>
  <c r="AH70" i="73"/>
  <c r="BQ70" i="73"/>
  <c r="BR70" i="73"/>
  <c r="BS70" i="73"/>
  <c r="BP75" i="73"/>
  <c r="BQ75" i="73"/>
  <c r="BS75" i="73"/>
  <c r="BR116" i="73"/>
  <c r="BS116" i="73"/>
  <c r="BQ116" i="73"/>
  <c r="BP22" i="73"/>
  <c r="AL37" i="73"/>
  <c r="AP37" i="73"/>
  <c r="BP39" i="73"/>
  <c r="AH39" i="73"/>
  <c r="AH44" i="73"/>
  <c r="BP44" i="73"/>
  <c r="AH52" i="73"/>
  <c r="BP52" i="73"/>
  <c r="BR62" i="73"/>
  <c r="BS62" i="73"/>
  <c r="AH62" i="73"/>
  <c r="BS65" i="73"/>
  <c r="BP65" i="73"/>
  <c r="BR69" i="73"/>
  <c r="BS69" i="73"/>
  <c r="BR72" i="73"/>
  <c r="AH72" i="73"/>
  <c r="BS72" i="73"/>
  <c r="F71" i="73"/>
  <c r="BP77" i="73"/>
  <c r="AH77" i="73"/>
  <c r="BQ77" i="73"/>
  <c r="BP85" i="73"/>
  <c r="AH85" i="73"/>
  <c r="AI96" i="73"/>
  <c r="AI97" i="73"/>
  <c r="BR99" i="73"/>
  <c r="BP99" i="73"/>
  <c r="BQ99" i="73"/>
  <c r="AI100" i="73"/>
  <c r="AI101" i="73"/>
  <c r="BR103" i="73"/>
  <c r="BP103" i="73"/>
  <c r="BQ103" i="73"/>
  <c r="AI104" i="73"/>
  <c r="AZ106" i="73"/>
  <c r="BL106" i="73" s="1"/>
  <c r="BU122" i="73"/>
  <c r="BQ122" i="73"/>
  <c r="BR122" i="73"/>
  <c r="AH122" i="73"/>
  <c r="BT122" i="73"/>
  <c r="BQ66" i="73"/>
  <c r="BR66" i="73"/>
  <c r="AH66" i="73"/>
  <c r="AL71" i="73"/>
  <c r="AP71" i="73"/>
  <c r="BQ81" i="73"/>
  <c r="BR81" i="73"/>
  <c r="BP83" i="73"/>
  <c r="AH83" i="73"/>
  <c r="BQ83" i="73"/>
  <c r="AI84" i="73"/>
  <c r="AI95" i="73"/>
  <c r="AM106" i="73"/>
  <c r="BQ108" i="73"/>
  <c r="BR108" i="73"/>
  <c r="BP108" i="73"/>
  <c r="AH108" i="73"/>
  <c r="BS108" i="73"/>
  <c r="BQ119" i="73"/>
  <c r="BS119" i="73"/>
  <c r="AH79" i="73"/>
  <c r="BP79" i="73"/>
  <c r="AH89" i="73"/>
  <c r="BP89" i="73"/>
  <c r="AH93" i="73"/>
  <c r="BP93" i="73"/>
  <c r="BS110" i="73"/>
  <c r="BR113" i="73"/>
  <c r="BP105" i="73"/>
  <c r="AH105" i="73"/>
  <c r="AP106" i="73"/>
  <c r="BQ118" i="73"/>
  <c r="BR118" i="73"/>
  <c r="AH118" i="73"/>
  <c r="BS120" i="73"/>
  <c r="BT120" i="73"/>
  <c r="BS121" i="73"/>
  <c r="BT121" i="73"/>
  <c r="AS124" i="73" l="1"/>
  <c r="AJ33" i="73"/>
  <c r="BS111" i="73"/>
  <c r="BR110" i="73"/>
  <c r="BQ110" i="73"/>
  <c r="AZ32" i="73"/>
  <c r="AZ124" i="73" s="1"/>
  <c r="BR111" i="73"/>
  <c r="AH111" i="73"/>
  <c r="BQ34" i="73"/>
  <c r="BL32" i="73"/>
  <c r="AR33" i="73"/>
  <c r="AL33" i="73"/>
  <c r="BL30" i="73"/>
  <c r="BY30" i="73" s="1"/>
  <c r="BT34" i="73"/>
  <c r="BS34" i="73"/>
  <c r="AH34" i="73"/>
  <c r="BR34" i="73"/>
  <c r="BU34" i="73"/>
  <c r="BP34" i="73"/>
  <c r="BM31" i="73"/>
  <c r="BM124" i="73" s="1"/>
  <c r="BJ124" i="73"/>
  <c r="AI32" i="73"/>
  <c r="AI124" i="73" s="1"/>
  <c r="AI33" i="73"/>
  <c r="F124" i="73"/>
  <c r="F33" i="73"/>
  <c r="BQ30" i="73"/>
  <c r="BS84" i="73"/>
  <c r="AH84" i="73"/>
  <c r="BP84" i="73"/>
  <c r="BQ84" i="73"/>
  <c r="BR84" i="73"/>
  <c r="L31" i="73"/>
  <c r="L124" i="73" s="1"/>
  <c r="BQ107" i="73"/>
  <c r="AH107" i="73"/>
  <c r="BS107" i="73"/>
  <c r="BR107" i="73"/>
  <c r="AP32" i="73"/>
  <c r="AP124" i="73" s="1"/>
  <c r="BU37" i="73"/>
  <c r="BQ37" i="73"/>
  <c r="BT37" i="73"/>
  <c r="BP37" i="73"/>
  <c r="BR37" i="73"/>
  <c r="BS37" i="73"/>
  <c r="AP33" i="73"/>
  <c r="K124" i="73"/>
  <c r="K33" i="73"/>
  <c r="BY7" i="73"/>
  <c r="BT7" i="73"/>
  <c r="BS7" i="73"/>
  <c r="BQ7" i="73"/>
  <c r="BU7" i="73"/>
  <c r="BO7" i="73"/>
  <c r="BO14" i="73" s="1"/>
  <c r="BN7" i="73"/>
  <c r="BN14" i="73" s="1"/>
  <c r="BP97" i="73"/>
  <c r="BQ97" i="73"/>
  <c r="AH97" i="73"/>
  <c r="BS97" i="73"/>
  <c r="BR97" i="73"/>
  <c r="BP45" i="73"/>
  <c r="AH45" i="73"/>
  <c r="AH37" i="73" s="1"/>
  <c r="BQ45" i="73"/>
  <c r="BS45" i="73"/>
  <c r="BR45" i="73"/>
  <c r="L33" i="73"/>
  <c r="G124" i="73"/>
  <c r="G33" i="73"/>
  <c r="AL32" i="73"/>
  <c r="AL124" i="73" s="1"/>
  <c r="BS104" i="73"/>
  <c r="AH104" i="73"/>
  <c r="BP104" i="73"/>
  <c r="BQ104" i="73"/>
  <c r="BR104" i="73"/>
  <c r="BP101" i="73"/>
  <c r="BQ101" i="73"/>
  <c r="AH101" i="73"/>
  <c r="BS101" i="73"/>
  <c r="BR101" i="73"/>
  <c r="AK33" i="73"/>
  <c r="AK32" i="73"/>
  <c r="AK124" i="73" s="1"/>
  <c r="AQ32" i="73"/>
  <c r="AQ124" i="73" s="1"/>
  <c r="BT24" i="73"/>
  <c r="BP24" i="73"/>
  <c r="BU24" i="73"/>
  <c r="BO24" i="73"/>
  <c r="BY24" i="73"/>
  <c r="BN24" i="73"/>
  <c r="BS24" i="73"/>
  <c r="BR24" i="73"/>
  <c r="BQ24" i="73"/>
  <c r="AO33" i="73"/>
  <c r="M33" i="73"/>
  <c r="M32" i="73"/>
  <c r="AN33" i="73"/>
  <c r="BC31" i="73"/>
  <c r="BC124" i="73" s="1"/>
  <c r="L14" i="73"/>
  <c r="M4" i="73"/>
  <c r="M14" i="73" s="1"/>
  <c r="M31" i="73" s="1"/>
  <c r="AM32" i="73"/>
  <c r="AM124" i="73" s="1"/>
  <c r="BS19" i="73"/>
  <c r="BO19" i="73"/>
  <c r="BU19" i="73"/>
  <c r="BP19" i="73"/>
  <c r="BR19" i="73"/>
  <c r="BY19" i="73"/>
  <c r="BQ19" i="73"/>
  <c r="BT19" i="73"/>
  <c r="BN19" i="73"/>
  <c r="AG30" i="73"/>
  <c r="AG31" i="73" s="1"/>
  <c r="AG124" i="73" s="1"/>
  <c r="BN15" i="73"/>
  <c r="BS96" i="73"/>
  <c r="AH96" i="73"/>
  <c r="BP96" i="73"/>
  <c r="BQ96" i="73"/>
  <c r="BR96" i="73"/>
  <c r="AZ33" i="73"/>
  <c r="BP80" i="73"/>
  <c r="BQ80" i="73"/>
  <c r="BR80" i="73"/>
  <c r="AH80" i="73"/>
  <c r="BS80" i="73"/>
  <c r="BS95" i="73"/>
  <c r="AH95" i="73"/>
  <c r="BQ95" i="73"/>
  <c r="BR95" i="73"/>
  <c r="BP95" i="73"/>
  <c r="BS100" i="73"/>
  <c r="AH100" i="73"/>
  <c r="BP100" i="73"/>
  <c r="BQ100" i="73"/>
  <c r="BR100" i="73"/>
  <c r="BP73" i="73"/>
  <c r="BQ73" i="73"/>
  <c r="BR73" i="73"/>
  <c r="BS73" i="73"/>
  <c r="AH73" i="73"/>
  <c r="BD124" i="73"/>
  <c r="AD30" i="73"/>
  <c r="AD31" i="73" s="1"/>
  <c r="AD124" i="73" s="1"/>
  <c r="BU15" i="73"/>
  <c r="BT15" i="73"/>
  <c r="AH71" i="73" l="1"/>
  <c r="BP30" i="73"/>
  <c r="BR30" i="73"/>
  <c r="BS30" i="73"/>
  <c r="BL33" i="73"/>
  <c r="BN30" i="73"/>
  <c r="BN31" i="73" s="1"/>
  <c r="BN124" i="73" s="1"/>
  <c r="BO30" i="73"/>
  <c r="BO31" i="73" s="1"/>
  <c r="BT106" i="73"/>
  <c r="BP106" i="73"/>
  <c r="BU106" i="73"/>
  <c r="BQ106" i="73"/>
  <c r="AH106" i="73"/>
  <c r="AH32" i="73" s="1"/>
  <c r="AH124" i="73" s="1"/>
  <c r="BR106" i="73"/>
  <c r="BS106" i="73"/>
  <c r="BU71" i="73"/>
  <c r="BQ71" i="73"/>
  <c r="BR71" i="73"/>
  <c r="BP71" i="73"/>
  <c r="BS71" i="73"/>
  <c r="BT71" i="73"/>
  <c r="M124" i="73"/>
  <c r="BS14" i="73"/>
  <c r="BR14" i="73"/>
  <c r="BY14" i="73"/>
  <c r="BU14" i="73"/>
  <c r="BT14" i="73"/>
  <c r="BQ14" i="73"/>
  <c r="BP14" i="73"/>
  <c r="BL31" i="73"/>
  <c r="BT30" i="73"/>
  <c r="BU30" i="73"/>
  <c r="BT31" i="73" l="1"/>
  <c r="BP31" i="73"/>
  <c r="BY31" i="73"/>
  <c r="BU31" i="73"/>
  <c r="BQ31" i="73"/>
  <c r="BS31" i="73"/>
  <c r="BR31" i="73"/>
  <c r="BL124" i="73"/>
  <c r="BU32" i="73"/>
  <c r="BQ32" i="73"/>
  <c r="BR32" i="73"/>
  <c r="BO32" i="73"/>
  <c r="BO124" i="73" s="1"/>
  <c r="BP32" i="73"/>
  <c r="BS32" i="73"/>
  <c r="BT32" i="73"/>
  <c r="BT33" i="73"/>
  <c r="BP33" i="73"/>
  <c r="BU33" i="73"/>
  <c r="BQ33" i="73"/>
  <c r="BS33" i="73"/>
  <c r="BR33" i="73"/>
  <c r="AH33" i="73"/>
  <c r="BQ124" i="73" l="1"/>
  <c r="BU124" i="73"/>
  <c r="BT124" i="73"/>
  <c r="BR124" i="73"/>
  <c r="BS124" i="73"/>
  <c r="BP124" i="73"/>
  <c r="C10" i="64" l="1"/>
  <c r="D11" i="64"/>
  <c r="D10" i="64"/>
  <c r="E10" i="64"/>
  <c r="C11" i="64" l="1"/>
  <c r="E2" i="64"/>
  <c r="E13" i="64" s="1"/>
  <c r="D2" i="64"/>
  <c r="D13" i="64" s="1"/>
  <c r="C2" i="64"/>
  <c r="C13" i="64" s="1"/>
  <c r="N6" i="10" l="1"/>
  <c r="O67" i="2" l="1"/>
  <c r="Q69" i="2"/>
  <c r="Q67" i="2"/>
  <c r="P67" i="2"/>
  <c r="P65" i="2"/>
  <c r="N66" i="2"/>
  <c r="O65" i="2" l="1"/>
  <c r="O26" i="2"/>
  <c r="Q64" i="2" l="1"/>
  <c r="Q62" i="2" s="1"/>
  <c r="B62" i="2" s="1"/>
  <c r="K65" i="2"/>
  <c r="N64" i="2"/>
  <c r="N63" i="2" s="1"/>
  <c r="B64" i="2" l="1"/>
  <c r="B63" i="2" s="1"/>
  <c r="L26" i="2" l="1"/>
  <c r="N22" i="2" l="1"/>
  <c r="N21" i="2"/>
  <c r="O6" i="10" l="1"/>
  <c r="P6" i="10"/>
  <c r="M8" i="10"/>
  <c r="J8" i="10"/>
  <c r="K8" i="10"/>
  <c r="L8" i="10"/>
  <c r="I8" i="10"/>
  <c r="J6" i="10" l="1"/>
  <c r="K6" i="10"/>
  <c r="L6" i="10"/>
  <c r="M6" i="10"/>
  <c r="N8" i="10"/>
  <c r="I6" i="10"/>
  <c r="J11" i="10" l="1"/>
  <c r="K11" i="10"/>
  <c r="L11" i="10"/>
  <c r="M11" i="10"/>
  <c r="I11" i="10"/>
  <c r="M22" i="10"/>
  <c r="M32" i="10"/>
  <c r="M28" i="10"/>
  <c r="L32" i="10"/>
  <c r="L28" i="10"/>
  <c r="K32" i="10"/>
  <c r="K31" i="10"/>
  <c r="K22" i="10" s="1"/>
  <c r="J32" i="10"/>
  <c r="J22" i="10" s="1"/>
  <c r="I32" i="10"/>
  <c r="I22" i="10" s="1"/>
  <c r="I28" i="10"/>
  <c r="M16" i="10"/>
  <c r="L22" i="10" l="1"/>
  <c r="J64" i="2" l="1"/>
  <c r="J63" i="2" s="1"/>
  <c r="F64" i="2"/>
  <c r="F63" i="2" s="1"/>
  <c r="B10" i="2" l="1"/>
  <c r="C65" i="2" l="1"/>
  <c r="M65" i="2"/>
  <c r="L65" i="2"/>
  <c r="I65" i="2"/>
  <c r="H65" i="2"/>
  <c r="G65" i="2"/>
  <c r="E65" i="2"/>
  <c r="D65" i="2"/>
  <c r="H26" i="2"/>
  <c r="B26" i="2" s="1"/>
  <c r="F26" i="2"/>
  <c r="B22" i="2"/>
  <c r="F22" i="2"/>
  <c r="E28" i="2"/>
  <c r="E15" i="2"/>
  <c r="F21" i="2"/>
  <c r="D15" i="2"/>
  <c r="G15" i="2"/>
  <c r="H15" i="2"/>
  <c r="I15" i="2"/>
  <c r="K15" i="2"/>
  <c r="L15" i="2"/>
  <c r="M15" i="2"/>
  <c r="O15" i="2"/>
  <c r="P15" i="2"/>
  <c r="Q15" i="2"/>
  <c r="Q28" i="2"/>
  <c r="O28" i="2"/>
  <c r="M28" i="2"/>
  <c r="L28" i="2"/>
  <c r="L29" i="2" s="1"/>
  <c r="K28" i="2"/>
  <c r="I28" i="2"/>
  <c r="G28" i="2"/>
  <c r="D28" i="2"/>
  <c r="C28" i="2"/>
  <c r="N27" i="2"/>
  <c r="J27" i="2"/>
  <c r="F27" i="2"/>
  <c r="B27" i="2"/>
  <c r="N25" i="2"/>
  <c r="J25" i="2"/>
  <c r="F25" i="2"/>
  <c r="B25" i="2"/>
  <c r="N24" i="2"/>
  <c r="J24" i="2"/>
  <c r="F24" i="2"/>
  <c r="B24" i="2"/>
  <c r="N23" i="2"/>
  <c r="J23" i="2"/>
  <c r="F23" i="2"/>
  <c r="B23" i="2"/>
  <c r="B21" i="2"/>
  <c r="P28" i="2"/>
  <c r="N20" i="2"/>
  <c r="J20" i="2"/>
  <c r="F20" i="2"/>
  <c r="B20" i="2"/>
  <c r="N19" i="2"/>
  <c r="J19" i="2"/>
  <c r="F19" i="2"/>
  <c r="B19" i="2"/>
  <c r="N18" i="2"/>
  <c r="J18" i="2"/>
  <c r="F18" i="2"/>
  <c r="B18" i="2"/>
  <c r="N17" i="2"/>
  <c r="J17" i="2"/>
  <c r="F17" i="2"/>
  <c r="B17" i="2"/>
  <c r="N16" i="2"/>
  <c r="J16" i="2"/>
  <c r="F16" i="2"/>
  <c r="B16" i="2"/>
  <c r="N14" i="2"/>
  <c r="J14" i="2"/>
  <c r="N13" i="2"/>
  <c r="J13" i="2"/>
  <c r="N12" i="2"/>
  <c r="J12" i="2"/>
  <c r="N11" i="2"/>
  <c r="J11" i="2"/>
  <c r="N10" i="2"/>
  <c r="J10" i="2"/>
  <c r="N9" i="2"/>
  <c r="J9" i="2"/>
  <c r="N8" i="2"/>
  <c r="J8" i="2"/>
  <c r="N7" i="2"/>
  <c r="J7" i="2"/>
  <c r="N6" i="2"/>
  <c r="J6" i="2"/>
  <c r="N5" i="2"/>
  <c r="J5" i="2"/>
  <c r="P29" i="2" l="1"/>
  <c r="H28" i="2"/>
  <c r="J28" i="2" s="1"/>
  <c r="N15" i="2"/>
  <c r="K29" i="2"/>
  <c r="J15" i="2"/>
  <c r="B28" i="2"/>
  <c r="O29" i="2"/>
  <c r="D29" i="2"/>
  <c r="I29" i="2"/>
  <c r="E29" i="2"/>
  <c r="Q29" i="2"/>
  <c r="G29" i="2"/>
  <c r="M29" i="2"/>
  <c r="F28" i="2"/>
  <c r="N28" i="2"/>
  <c r="N29" i="2" l="1"/>
  <c r="H29" i="2"/>
  <c r="J29" i="2" s="1"/>
  <c r="B53" i="2" l="1"/>
  <c r="P52" i="2"/>
  <c r="Q58" i="2"/>
  <c r="B36" i="2" l="1"/>
  <c r="B66" i="2" l="1"/>
  <c r="B65" i="2" s="1"/>
  <c r="C67" i="2"/>
  <c r="D67" i="2"/>
  <c r="E67" i="2"/>
  <c r="G67" i="2"/>
  <c r="H67" i="2"/>
  <c r="I67" i="2"/>
  <c r="K67" i="2"/>
  <c r="L67" i="2"/>
  <c r="M67" i="2"/>
  <c r="C69" i="2"/>
  <c r="D69" i="2"/>
  <c r="E69" i="2"/>
  <c r="G69" i="2"/>
  <c r="H69" i="2"/>
  <c r="I69" i="2"/>
  <c r="K69" i="2"/>
  <c r="L69" i="2"/>
  <c r="M69" i="2"/>
  <c r="O69" i="2"/>
  <c r="P69" i="2"/>
  <c r="B68" i="2"/>
  <c r="N65" i="2"/>
  <c r="N68" i="2"/>
  <c r="N70" i="2"/>
  <c r="J66" i="2"/>
  <c r="J65" i="2" s="1"/>
  <c r="J68" i="2"/>
  <c r="J70" i="2"/>
  <c r="F57" i="2"/>
  <c r="F66" i="2"/>
  <c r="F65" i="2" s="1"/>
  <c r="F68" i="2"/>
  <c r="F70" i="2"/>
  <c r="B67" i="2" l="1"/>
  <c r="F69" i="2"/>
  <c r="J69" i="2"/>
  <c r="N67" i="2"/>
  <c r="N69" i="2"/>
  <c r="F67" i="2"/>
  <c r="J67" i="2"/>
  <c r="B70" i="2"/>
  <c r="B69" i="2" s="1"/>
  <c r="N73" i="2" l="1"/>
  <c r="N72" i="2"/>
  <c r="N37" i="2"/>
  <c r="N38" i="2"/>
  <c r="N39" i="2"/>
  <c r="N40" i="2"/>
  <c r="N41" i="2"/>
  <c r="N42" i="2"/>
  <c r="N44" i="2"/>
  <c r="N45" i="2"/>
  <c r="N46" i="2"/>
  <c r="N48" i="2"/>
  <c r="N49" i="2"/>
  <c r="N50" i="2"/>
  <c r="N52" i="2"/>
  <c r="N55" i="2"/>
  <c r="N54" i="2"/>
  <c r="N51" i="2"/>
  <c r="N56" i="2"/>
  <c r="N57" i="2"/>
  <c r="N36" i="2"/>
  <c r="J37" i="2"/>
  <c r="J38" i="2"/>
  <c r="J39" i="2"/>
  <c r="J40" i="2"/>
  <c r="J41" i="2"/>
  <c r="J42" i="2"/>
  <c r="J44" i="2"/>
  <c r="J45" i="2"/>
  <c r="J46" i="2"/>
  <c r="J48" i="2"/>
  <c r="J49" i="2"/>
  <c r="J50" i="2"/>
  <c r="J52" i="2"/>
  <c r="J55" i="2"/>
  <c r="J54" i="2"/>
  <c r="J51" i="2"/>
  <c r="J56" i="2"/>
  <c r="J57" i="2"/>
  <c r="J36" i="2"/>
  <c r="J43" i="2" l="1"/>
  <c r="J47" i="2" s="1"/>
  <c r="N43" i="2"/>
  <c r="N47" i="2" s="1"/>
  <c r="L16" i="10" l="1"/>
  <c r="K16" i="10"/>
  <c r="J16" i="10"/>
  <c r="I16" i="10"/>
  <c r="H16" i="10"/>
  <c r="G16" i="10"/>
  <c r="F16" i="10"/>
  <c r="E16" i="10"/>
  <c r="D16" i="10"/>
  <c r="C16" i="10"/>
  <c r="B16" i="10"/>
  <c r="F37" i="2" l="1"/>
  <c r="F38" i="2"/>
  <c r="F39" i="2"/>
  <c r="F40" i="2"/>
  <c r="F41" i="2"/>
  <c r="F42" i="2"/>
  <c r="F44" i="2"/>
  <c r="F45" i="2"/>
  <c r="F46" i="2"/>
  <c r="F48" i="2"/>
  <c r="F49" i="2"/>
  <c r="F50" i="2"/>
  <c r="F52" i="2"/>
  <c r="F55" i="2"/>
  <c r="F54" i="2"/>
  <c r="F51" i="2"/>
  <c r="F56" i="2"/>
  <c r="F36" i="2"/>
  <c r="D43" i="2" l="1"/>
  <c r="E43" i="2"/>
  <c r="E47" i="2" s="1"/>
  <c r="G43" i="2"/>
  <c r="G47" i="2" s="1"/>
  <c r="H43" i="2"/>
  <c r="H47" i="2" s="1"/>
  <c r="I43" i="2"/>
  <c r="I47" i="2" s="1"/>
  <c r="K43" i="2"/>
  <c r="K47" i="2" s="1"/>
  <c r="L43" i="2"/>
  <c r="L47" i="2" s="1"/>
  <c r="M43" i="2"/>
  <c r="M47" i="2" s="1"/>
  <c r="O43" i="2"/>
  <c r="O47" i="2" s="1"/>
  <c r="P43" i="2"/>
  <c r="P47" i="2" s="1"/>
  <c r="Q43" i="2"/>
  <c r="Q47" i="2" s="1"/>
  <c r="C43" i="2"/>
  <c r="C47" i="2" s="1"/>
  <c r="P58" i="2"/>
  <c r="O58" i="2"/>
  <c r="M58" i="2"/>
  <c r="L58" i="2"/>
  <c r="K58" i="2"/>
  <c r="I58" i="2"/>
  <c r="H58" i="2"/>
  <c r="G58" i="2"/>
  <c r="E58" i="2"/>
  <c r="D58" i="2"/>
  <c r="C58" i="2"/>
  <c r="B57" i="2"/>
  <c r="B56" i="2"/>
  <c r="B51" i="2"/>
  <c r="B54" i="2"/>
  <c r="B55" i="2"/>
  <c r="B52" i="2"/>
  <c r="B50" i="2"/>
  <c r="B49" i="2"/>
  <c r="B48" i="2"/>
  <c r="B46" i="2"/>
  <c r="B45" i="2"/>
  <c r="B44" i="2"/>
  <c r="B42" i="2"/>
  <c r="B41" i="2"/>
  <c r="B40" i="2"/>
  <c r="B39" i="2"/>
  <c r="B38" i="2"/>
  <c r="B37" i="2"/>
  <c r="F58" i="2" l="1"/>
  <c r="J58" i="2"/>
  <c r="Q59" i="2"/>
  <c r="N58" i="2"/>
  <c r="D47" i="2"/>
  <c r="F47" i="2" s="1"/>
  <c r="F43" i="2"/>
  <c r="L59" i="2"/>
  <c r="G59" i="2"/>
  <c r="B43" i="2"/>
  <c r="B47" i="2" s="1"/>
  <c r="I59" i="2"/>
  <c r="O59" i="2"/>
  <c r="M59" i="2"/>
  <c r="H59" i="2"/>
  <c r="B58" i="2"/>
  <c r="C59" i="2"/>
  <c r="E59" i="2"/>
  <c r="K59" i="2"/>
  <c r="P59" i="2"/>
  <c r="D59" i="2" l="1"/>
  <c r="F59" i="2" s="1"/>
  <c r="J59" i="2"/>
  <c r="N59" i="2"/>
  <c r="B59" i="2"/>
  <c r="F77" i="2" l="1"/>
  <c r="F78" i="2"/>
  <c r="F79" i="2"/>
  <c r="F80" i="2"/>
  <c r="F81" i="2"/>
  <c r="F82" i="2"/>
  <c r="F84" i="2"/>
  <c r="F85" i="2"/>
  <c r="F86" i="2"/>
  <c r="F88" i="2"/>
  <c r="F89" i="2"/>
  <c r="F90" i="2"/>
  <c r="F91" i="2"/>
  <c r="F92" i="2"/>
  <c r="F93" i="2"/>
  <c r="F94" i="2"/>
  <c r="F95" i="2"/>
  <c r="F96" i="2"/>
  <c r="F97" i="2"/>
  <c r="F76" i="2"/>
  <c r="B76" i="2"/>
  <c r="P212" i="2"/>
  <c r="L212" i="2"/>
  <c r="K212" i="2"/>
  <c r="I212" i="2"/>
  <c r="H212" i="2"/>
  <c r="G212" i="2"/>
  <c r="E212" i="2"/>
  <c r="D212" i="2"/>
  <c r="C212" i="2"/>
  <c r="B211" i="2"/>
  <c r="M210" i="2"/>
  <c r="B210" i="2" s="1"/>
  <c r="B209" i="2"/>
  <c r="Q208" i="2"/>
  <c r="B208" i="2" s="1"/>
  <c r="B207" i="2"/>
  <c r="B206" i="2"/>
  <c r="B205" i="2"/>
  <c r="O204" i="2"/>
  <c r="O212" i="2" s="1"/>
  <c r="M203" i="2"/>
  <c r="B203" i="2" s="1"/>
  <c r="B202" i="2"/>
  <c r="P201" i="2"/>
  <c r="L201" i="2"/>
  <c r="K201" i="2"/>
  <c r="I201" i="2"/>
  <c r="I213" i="2" s="1"/>
  <c r="G201" i="2"/>
  <c r="E201" i="2"/>
  <c r="D201" i="2"/>
  <c r="C201" i="2"/>
  <c r="B200" i="2"/>
  <c r="M199" i="2"/>
  <c r="B199" i="2" s="1"/>
  <c r="M198" i="2"/>
  <c r="B198" i="2" s="1"/>
  <c r="M197" i="2"/>
  <c r="B197" i="2" s="1"/>
  <c r="B196" i="2"/>
  <c r="B195" i="2"/>
  <c r="Q194" i="2"/>
  <c r="O194" i="2"/>
  <c r="O201" i="2" s="1"/>
  <c r="Q193" i="2"/>
  <c r="M193" i="2"/>
  <c r="H193" i="2"/>
  <c r="H201" i="2" s="1"/>
  <c r="M192" i="2"/>
  <c r="B192" i="2" s="1"/>
  <c r="Q185" i="2"/>
  <c r="P185" i="2"/>
  <c r="O185" i="2"/>
  <c r="M185" i="2"/>
  <c r="L185" i="2"/>
  <c r="K185" i="2"/>
  <c r="I185" i="2"/>
  <c r="H185" i="2"/>
  <c r="G185" i="2"/>
  <c r="E185" i="2"/>
  <c r="D185" i="2"/>
  <c r="C185" i="2"/>
  <c r="B184" i="2"/>
  <c r="B183" i="2"/>
  <c r="B182" i="2"/>
  <c r="B181" i="2"/>
  <c r="B180" i="2"/>
  <c r="B179" i="2"/>
  <c r="B178" i="2"/>
  <c r="B177" i="2"/>
  <c r="B176" i="2"/>
  <c r="B175" i="2"/>
  <c r="B173" i="2"/>
  <c r="B172" i="2"/>
  <c r="B171" i="2"/>
  <c r="B170" i="2"/>
  <c r="Q169" i="2"/>
  <c r="Q174" i="2" s="1"/>
  <c r="P169" i="2"/>
  <c r="P174" i="2" s="1"/>
  <c r="O169" i="2"/>
  <c r="O174" i="2" s="1"/>
  <c r="M169" i="2"/>
  <c r="M174" i="2" s="1"/>
  <c r="L169" i="2"/>
  <c r="L174" i="2" s="1"/>
  <c r="K169" i="2"/>
  <c r="K174" i="2" s="1"/>
  <c r="I169" i="2"/>
  <c r="I174" i="2" s="1"/>
  <c r="H169" i="2"/>
  <c r="H174" i="2" s="1"/>
  <c r="G169" i="2"/>
  <c r="G174" i="2" s="1"/>
  <c r="E169" i="2"/>
  <c r="E174" i="2" s="1"/>
  <c r="D169" i="2"/>
  <c r="D174" i="2" s="1"/>
  <c r="C169" i="2"/>
  <c r="B168" i="2"/>
  <c r="B167" i="2"/>
  <c r="B166" i="2"/>
  <c r="B165" i="2"/>
  <c r="B164" i="2"/>
  <c r="B163" i="2"/>
  <c r="Q156" i="2"/>
  <c r="P156" i="2"/>
  <c r="M156" i="2"/>
  <c r="L156" i="2"/>
  <c r="K156" i="2"/>
  <c r="I156" i="2"/>
  <c r="H156" i="2"/>
  <c r="G156" i="2"/>
  <c r="E156" i="2"/>
  <c r="D156" i="2"/>
  <c r="C156" i="2"/>
  <c r="B155" i="2"/>
  <c r="B154" i="2"/>
  <c r="B153" i="2"/>
  <c r="B152" i="2"/>
  <c r="B151" i="2"/>
  <c r="B150" i="2"/>
  <c r="B149" i="2"/>
  <c r="B148" i="2"/>
  <c r="O147" i="2"/>
  <c r="O156" i="2" s="1"/>
  <c r="B146" i="2"/>
  <c r="B144" i="2"/>
  <c r="B143" i="2"/>
  <c r="L142" i="2"/>
  <c r="B142" i="2" s="1"/>
  <c r="L141" i="2"/>
  <c r="B141" i="2" s="1"/>
  <c r="Q140" i="2"/>
  <c r="Q145" i="2" s="1"/>
  <c r="P140" i="2"/>
  <c r="P145" i="2" s="1"/>
  <c r="O140" i="2"/>
  <c r="O145" i="2" s="1"/>
  <c r="M140" i="2"/>
  <c r="M145" i="2" s="1"/>
  <c r="K140" i="2"/>
  <c r="K145" i="2" s="1"/>
  <c r="I140" i="2"/>
  <c r="I145" i="2" s="1"/>
  <c r="H140" i="2"/>
  <c r="H145" i="2" s="1"/>
  <c r="G140" i="2"/>
  <c r="G145" i="2" s="1"/>
  <c r="E140" i="2"/>
  <c r="E145" i="2" s="1"/>
  <c r="D140" i="2"/>
  <c r="D145" i="2" s="1"/>
  <c r="C140" i="2"/>
  <c r="C145" i="2" s="1"/>
  <c r="B139" i="2"/>
  <c r="B138" i="2"/>
  <c r="B137" i="2"/>
  <c r="B136" i="2"/>
  <c r="B135" i="2"/>
  <c r="B134" i="2"/>
  <c r="Q127" i="2"/>
  <c r="P127" i="2"/>
  <c r="O127" i="2"/>
  <c r="M127" i="2"/>
  <c r="L127" i="2"/>
  <c r="K127" i="2"/>
  <c r="I127" i="2"/>
  <c r="H127" i="2"/>
  <c r="G127" i="2"/>
  <c r="E127" i="2"/>
  <c r="D127" i="2"/>
  <c r="C127" i="2"/>
  <c r="B126" i="2"/>
  <c r="B125" i="2"/>
  <c r="B124" i="2"/>
  <c r="B123" i="2"/>
  <c r="B122" i="2"/>
  <c r="B121" i="2"/>
  <c r="B120" i="2"/>
  <c r="B119" i="2"/>
  <c r="B118" i="2"/>
  <c r="B117" i="2"/>
  <c r="B115" i="2"/>
  <c r="B114" i="2"/>
  <c r="B113" i="2"/>
  <c r="B112" i="2"/>
  <c r="Q111" i="2"/>
  <c r="Q116" i="2" s="1"/>
  <c r="P111" i="2"/>
  <c r="P116" i="2" s="1"/>
  <c r="O111" i="2"/>
  <c r="O116" i="2" s="1"/>
  <c r="M111" i="2"/>
  <c r="M116" i="2" s="1"/>
  <c r="L111" i="2"/>
  <c r="K111" i="2"/>
  <c r="K116" i="2" s="1"/>
  <c r="I111" i="2"/>
  <c r="I116" i="2" s="1"/>
  <c r="H111" i="2"/>
  <c r="H116" i="2" s="1"/>
  <c r="G111" i="2"/>
  <c r="G116" i="2" s="1"/>
  <c r="E111" i="2"/>
  <c r="E116" i="2" s="1"/>
  <c r="D111" i="2"/>
  <c r="D116" i="2" s="1"/>
  <c r="C111" i="2"/>
  <c r="C116" i="2" s="1"/>
  <c r="B110" i="2"/>
  <c r="B109" i="2"/>
  <c r="B108" i="2"/>
  <c r="B107" i="2"/>
  <c r="B106" i="2"/>
  <c r="B105" i="2"/>
  <c r="Q98" i="2"/>
  <c r="P98" i="2"/>
  <c r="O98" i="2"/>
  <c r="M98" i="2"/>
  <c r="L98" i="2"/>
  <c r="K98" i="2"/>
  <c r="I98" i="2"/>
  <c r="H98" i="2"/>
  <c r="G98" i="2"/>
  <c r="E98" i="2"/>
  <c r="D98" i="2"/>
  <c r="C98" i="2"/>
  <c r="B97" i="2"/>
  <c r="B96" i="2"/>
  <c r="B95" i="2"/>
  <c r="B94" i="2"/>
  <c r="B93" i="2"/>
  <c r="B92" i="2"/>
  <c r="B91" i="2"/>
  <c r="B90" i="2"/>
  <c r="B89" i="2"/>
  <c r="B88" i="2"/>
  <c r="B86" i="2"/>
  <c r="B85" i="2"/>
  <c r="B84" i="2"/>
  <c r="Q83" i="2"/>
  <c r="Q87" i="2" s="1"/>
  <c r="P83" i="2"/>
  <c r="P87" i="2" s="1"/>
  <c r="O83" i="2"/>
  <c r="O87" i="2" s="1"/>
  <c r="M83" i="2"/>
  <c r="M87" i="2" s="1"/>
  <c r="L83" i="2"/>
  <c r="L87" i="2" s="1"/>
  <c r="K83" i="2"/>
  <c r="K87" i="2" s="1"/>
  <c r="I83" i="2"/>
  <c r="I87" i="2" s="1"/>
  <c r="H83" i="2"/>
  <c r="H87" i="2" s="1"/>
  <c r="G83" i="2"/>
  <c r="G87" i="2" s="1"/>
  <c r="E83" i="2"/>
  <c r="E87" i="2" s="1"/>
  <c r="D83" i="2"/>
  <c r="D87" i="2" s="1"/>
  <c r="C83" i="2"/>
  <c r="C87" i="2" s="1"/>
  <c r="B82" i="2"/>
  <c r="B81" i="2"/>
  <c r="B80" i="2"/>
  <c r="B79" i="2"/>
  <c r="B78" i="2"/>
  <c r="B77" i="2"/>
  <c r="Q201" i="2" l="1"/>
  <c r="F98" i="2"/>
  <c r="E99" i="2"/>
  <c r="K99" i="2"/>
  <c r="P99" i="2"/>
  <c r="B147" i="2"/>
  <c r="B156" i="2" s="1"/>
  <c r="D213" i="2"/>
  <c r="B111" i="2"/>
  <c r="B116" i="2" s="1"/>
  <c r="D186" i="2"/>
  <c r="D128" i="2"/>
  <c r="B204" i="2"/>
  <c r="B212" i="2" s="1"/>
  <c r="C157" i="2"/>
  <c r="H157" i="2"/>
  <c r="I186" i="2"/>
  <c r="O186" i="2"/>
  <c r="I128" i="2"/>
  <c r="O128" i="2"/>
  <c r="E186" i="2"/>
  <c r="K186" i="2"/>
  <c r="P186" i="2"/>
  <c r="L213" i="2"/>
  <c r="G213" i="2"/>
  <c r="F83" i="2"/>
  <c r="B185" i="2"/>
  <c r="C128" i="2"/>
  <c r="M128" i="2"/>
  <c r="B127" i="2"/>
  <c r="F87" i="2"/>
  <c r="B140" i="2"/>
  <c r="B145" i="2" s="1"/>
  <c r="H128" i="2"/>
  <c r="L99" i="2"/>
  <c r="E213" i="2"/>
  <c r="K213" i="2"/>
  <c r="G99" i="2"/>
  <c r="Q99" i="2"/>
  <c r="K128" i="2"/>
  <c r="B98" i="2"/>
  <c r="B169" i="2"/>
  <c r="B174" i="2" s="1"/>
  <c r="B193" i="2"/>
  <c r="I157" i="2"/>
  <c r="E157" i="2"/>
  <c r="K157" i="2"/>
  <c r="O157" i="2"/>
  <c r="G157" i="2"/>
  <c r="M201" i="2"/>
  <c r="M212" i="2"/>
  <c r="E128" i="2"/>
  <c r="P128" i="2"/>
  <c r="O213" i="2"/>
  <c r="D157" i="2"/>
  <c r="P157" i="2"/>
  <c r="H186" i="2"/>
  <c r="M186" i="2"/>
  <c r="C213" i="2"/>
  <c r="P213" i="2"/>
  <c r="M157" i="2"/>
  <c r="C99" i="2"/>
  <c r="H99" i="2"/>
  <c r="M99" i="2"/>
  <c r="G128" i="2"/>
  <c r="Q128" i="2"/>
  <c r="G186" i="2"/>
  <c r="L186" i="2"/>
  <c r="Q186" i="2"/>
  <c r="D99" i="2"/>
  <c r="I99" i="2"/>
  <c r="O99" i="2"/>
  <c r="Q157" i="2"/>
  <c r="H213" i="2"/>
  <c r="L140" i="2"/>
  <c r="Q212" i="2"/>
  <c r="L116" i="2"/>
  <c r="L128" i="2" s="1"/>
  <c r="C174" i="2"/>
  <c r="C186" i="2" s="1"/>
  <c r="B83" i="2"/>
  <c r="B87" i="2" s="1"/>
  <c r="B194" i="2"/>
  <c r="Q213" i="2" l="1"/>
  <c r="B128" i="2"/>
  <c r="B186" i="2"/>
  <c r="B157" i="2"/>
  <c r="M213" i="2"/>
  <c r="F99" i="2"/>
  <c r="B99" i="2"/>
  <c r="B201" i="2"/>
  <c r="B213" i="2" s="1"/>
  <c r="L145" i="2"/>
  <c r="L157" i="2" l="1"/>
  <c r="F12" i="2"/>
  <c r="F10" i="2"/>
  <c r="F8" i="2"/>
  <c r="B12" i="2"/>
  <c r="F9" i="2"/>
  <c r="B9" i="2"/>
  <c r="F7" i="2"/>
  <c r="F13" i="2"/>
  <c r="C15" i="2"/>
  <c r="C29" i="2" s="1"/>
  <c r="F29" i="2" s="1"/>
  <c r="F14" i="2"/>
  <c r="B14" i="2"/>
  <c r="F6" i="2"/>
  <c r="B6" i="2"/>
  <c r="B7" i="2"/>
  <c r="B13" i="2"/>
  <c r="F5" i="2"/>
  <c r="B5" i="2"/>
  <c r="F11" i="2"/>
  <c r="B11" i="2"/>
  <c r="B8" i="2"/>
  <c r="F15" i="2" l="1"/>
  <c r="B15" i="2"/>
  <c r="B29" i="2" s="1"/>
  <c r="H32" i="110" l="1"/>
  <c r="J32" i="110" s="1"/>
  <c r="H43" i="110"/>
  <c r="J43" i="110" s="1"/>
  <c r="G32" i="110"/>
  <c r="G45" i="110" s="1"/>
  <c r="H45" i="110" l="1"/>
  <c r="I43" i="110"/>
  <c r="I32" i="110" s="1"/>
  <c r="I45" i="110" l="1"/>
  <c r="J45" i="110"/>
  <c r="H59" i="110"/>
  <c r="H60" i="110" s="1"/>
  <c r="H63" i="110" s="1"/>
</calcChain>
</file>

<file path=xl/comments1.xml><?xml version="1.0" encoding="utf-8"?>
<comments xmlns="http://schemas.openxmlformats.org/spreadsheetml/2006/main">
  <authors>
    <author>Наумова</author>
    <author>Наумова МП</author>
  </authors>
  <commentList>
    <comment ref="B24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11406012
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11402043
11413
</t>
        </r>
      </text>
    </comment>
    <comment ref="B29" authorId="1">
      <text>
        <r>
          <rPr>
            <b/>
            <sz val="9"/>
            <color indexed="81"/>
            <rFont val="Tahoma"/>
            <family val="2"/>
            <charset val="204"/>
          </rPr>
          <t>Наумова МП:</t>
        </r>
        <r>
          <rPr>
            <sz val="9"/>
            <color indexed="81"/>
            <rFont val="Tahoma"/>
            <family val="2"/>
            <charset val="204"/>
          </rPr>
          <t xml:space="preserve">
1,2,3</t>
        </r>
      </text>
    </comment>
  </commentList>
</comments>
</file>

<file path=xl/comments2.xml><?xml version="1.0" encoding="utf-8"?>
<comments xmlns="http://schemas.openxmlformats.org/spreadsheetml/2006/main">
  <authors>
    <author>Наумова</author>
    <author>Наумова МП</author>
  </authors>
  <commentList>
    <comment ref="B24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11406012
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11402043
11413
</t>
        </r>
      </text>
    </comment>
    <comment ref="B29" authorId="1">
      <text>
        <r>
          <rPr>
            <b/>
            <sz val="9"/>
            <color indexed="81"/>
            <rFont val="Tahoma"/>
            <family val="2"/>
            <charset val="204"/>
          </rPr>
          <t>Наумова МП:</t>
        </r>
        <r>
          <rPr>
            <sz val="9"/>
            <color indexed="81"/>
            <rFont val="Tahoma"/>
            <family val="2"/>
            <charset val="204"/>
          </rPr>
          <t xml:space="preserve">
1,2,3</t>
        </r>
      </text>
    </comment>
  </commentList>
</comments>
</file>

<file path=xl/comments3.xml><?xml version="1.0" encoding="utf-8"?>
<comments xmlns="http://schemas.openxmlformats.org/spreadsheetml/2006/main">
  <authors>
    <author>Наумова</author>
    <author>Наумова МП</author>
  </authors>
  <commentLis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11406012
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11402043
11413
</t>
        </r>
      </text>
    </comment>
    <comment ref="B28" authorId="1">
      <text>
        <r>
          <rPr>
            <b/>
            <sz val="9"/>
            <color indexed="81"/>
            <rFont val="Tahoma"/>
            <family val="2"/>
            <charset val="204"/>
          </rPr>
          <t>Наумова МП:</t>
        </r>
        <r>
          <rPr>
            <sz val="9"/>
            <color indexed="81"/>
            <rFont val="Tahoma"/>
            <family val="2"/>
            <charset val="204"/>
          </rPr>
          <t xml:space="preserve">
1,2,3</t>
        </r>
      </text>
    </comment>
  </commentList>
</comments>
</file>

<file path=xl/comments4.xml><?xml version="1.0" encoding="utf-8"?>
<comments xmlns="http://schemas.openxmlformats.org/spreadsheetml/2006/main">
  <authors>
    <author>Наумова</author>
  </authors>
  <commentLis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18077,9 казнач план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с хоз 6268,52
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11406012
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11402043
11413
</t>
        </r>
      </text>
    </comment>
  </commentList>
</comments>
</file>

<file path=xl/comments5.xml><?xml version="1.0" encoding="utf-8"?>
<comments xmlns="http://schemas.openxmlformats.org/spreadsheetml/2006/main">
  <authors>
    <author>Наумова</author>
  </authors>
  <commentLis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18077,9 казнач план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с хоз 6268,52
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очисные72750 на 132 от эколос, пожары399967,3
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11406012
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11402043
11413
</t>
        </r>
      </text>
    </comment>
    <comment ref="B27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21-23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11-13
</t>
        </r>
      </text>
    </comment>
    <comment ref="B29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1-10</t>
        </r>
      </text>
    </comment>
  </commentList>
</comments>
</file>

<file path=xl/comments6.xml><?xml version="1.0" encoding="utf-8"?>
<comments xmlns="http://schemas.openxmlformats.org/spreadsheetml/2006/main">
  <authors>
    <author>Наумова</author>
  </authors>
  <commentLis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18077,9 казнач план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с хоз 6268,52
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очисные72750 на 132 от эколос, пожары399967,3
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11406012
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11402043
11413
</t>
        </r>
      </text>
    </comment>
    <comment ref="B27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21-23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11-13
</t>
        </r>
      </text>
    </comment>
    <comment ref="B29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1-10</t>
        </r>
      </text>
    </comment>
    <comment ref="M118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8000000 МУП ЖКХ
14394400 тушение пожара
13130000 мупжкх Э/Энерг</t>
        </r>
      </text>
    </comment>
  </commentList>
</comments>
</file>

<file path=xl/comments7.xml><?xml version="1.0" encoding="utf-8"?>
<comments xmlns="http://schemas.openxmlformats.org/spreadsheetml/2006/main">
  <authors>
    <author>Наумова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редакция 8090,98
с хоз 34850</t>
        </r>
      </text>
    </commen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очисные72750 на 132 от эколос
</t>
        </r>
      </text>
    </comment>
  </commentList>
</comments>
</file>

<file path=xl/sharedStrings.xml><?xml version="1.0" encoding="utf-8"?>
<sst xmlns="http://schemas.openxmlformats.org/spreadsheetml/2006/main" count="2578" uniqueCount="711">
  <si>
    <t>КВД</t>
  </si>
  <si>
    <t>Наименование КВД</t>
  </si>
  <si>
    <t>КП - доходы Май</t>
  </si>
  <si>
    <t>КП - доходы Июнь</t>
  </si>
  <si>
    <t>КП - доходы Июль</t>
  </si>
  <si>
    <t>КП - доходы Август</t>
  </si>
  <si>
    <t>000</t>
  </si>
  <si>
    <t>1.01.00000.00.0000.000</t>
  </si>
  <si>
    <t>1.03.00000.00.0000.000</t>
  </si>
  <si>
    <t>1.05.01000.00.0000.110</t>
  </si>
  <si>
    <t>1.05.02000.02.0000.110</t>
  </si>
  <si>
    <t>1.05.03000.01.0000.110</t>
  </si>
  <si>
    <t>Единый сельскохозяйственный налог</t>
  </si>
  <si>
    <t>1.05.04000.02.0000.110</t>
  </si>
  <si>
    <t>1.06.01000.00.0000.110</t>
  </si>
  <si>
    <t>Налог на имущество физических лиц</t>
  </si>
  <si>
    <t>1.06.06030.00.0000.110</t>
  </si>
  <si>
    <t>Земельный налог с организаций</t>
  </si>
  <si>
    <t>1.06.06040.00.0000.110</t>
  </si>
  <si>
    <t>Земельный налог с физических лиц</t>
  </si>
  <si>
    <t>1.08.00000.00.0000.000</t>
  </si>
  <si>
    <t>1.11.01000.00.0000.120</t>
  </si>
  <si>
    <t>1.11.05010.00.0000.120</t>
  </si>
  <si>
    <t>1.11.05030.00.0000.120</t>
  </si>
  <si>
    <t>1.12.01000.01.0000.120</t>
  </si>
  <si>
    <t>Плата за негативное воздействие на окружающую среду</t>
  </si>
  <si>
    <t>1.13.02000.00.0000.130</t>
  </si>
  <si>
    <t>1.14.06000.00.0000.430</t>
  </si>
  <si>
    <t>1.14.13000.00.0000.000</t>
  </si>
  <si>
    <t>1.16.00000.00.0000.000</t>
  </si>
  <si>
    <t>БЕЗВОЗМЕЗДНЫЕ ПОСТУПЛЕНИЯ</t>
  </si>
  <si>
    <t>2.02.15001.04.0220.150</t>
  </si>
  <si>
    <t>2.02.15002.04.0220.150</t>
  </si>
  <si>
    <t>2.02.20000.00.0000.150</t>
  </si>
  <si>
    <t>030</t>
  </si>
  <si>
    <t>2.02.20302.04.0220.150</t>
  </si>
  <si>
    <t>2.02.25304.04.0220.150</t>
  </si>
  <si>
    <t>059</t>
  </si>
  <si>
    <t>061</t>
  </si>
  <si>
    <t>2.02.25467.04.0110.150</t>
  </si>
  <si>
    <t>2.02.25467.04.0220.150</t>
  </si>
  <si>
    <t>069</t>
  </si>
  <si>
    <t>2.02.25497.04.0110.150</t>
  </si>
  <si>
    <t>229</t>
  </si>
  <si>
    <t>Субсидии на осуществление социальных выплат молодым семьям на приобретение жилья или строительство индивидуального жилого дома за счет средств федерального бюджета</t>
  </si>
  <si>
    <t>2.02.25497.04.0220.150</t>
  </si>
  <si>
    <t>029</t>
  </si>
  <si>
    <t>2.02.25555.04.0110.150</t>
  </si>
  <si>
    <t>2.02.25555.04.0220.150</t>
  </si>
  <si>
    <t>045</t>
  </si>
  <si>
    <t>2.02.29999.04.0220.150</t>
  </si>
  <si>
    <t>010</t>
  </si>
  <si>
    <t>057</t>
  </si>
  <si>
    <t>2.02.30000.00.0000.150</t>
  </si>
  <si>
    <t>2.02.30024.04.0220.150</t>
  </si>
  <si>
    <t>001</t>
  </si>
  <si>
    <t>009</t>
  </si>
  <si>
    <t>016</t>
  </si>
  <si>
    <t>017</t>
  </si>
  <si>
    <t>020</t>
  </si>
  <si>
    <t>Субвенции на возмещение части затрат на приобретение оборудования и техники за счет средств областного бюджета</t>
  </si>
  <si>
    <t>022</t>
  </si>
  <si>
    <t>Субвенции на осуществление полномочий по организации и осуществлению деятельности по опеке и попечительству в отношении несовершеннолетних граждан</t>
  </si>
  <si>
    <t>025</t>
  </si>
  <si>
    <t>037</t>
  </si>
  <si>
    <t>Субвенции на возмещение части затрат на поддержку племенного животноводства за счет средств областного бюджета</t>
  </si>
  <si>
    <t>041</t>
  </si>
  <si>
    <t>Субвенции на  возмещение части затрат на приобретение  элитных семян за счет средств  областного бюджета</t>
  </si>
  <si>
    <t>046</t>
  </si>
  <si>
    <t>047</t>
  </si>
  <si>
    <t>048</t>
  </si>
  <si>
    <t>058</t>
  </si>
  <si>
    <t>Субвенции на возмещение части затрат на развитие мясного скотоводства за счет средств областного бюджета</t>
  </si>
  <si>
    <t>070</t>
  </si>
  <si>
    <t>2.02.30029.04.0220.150</t>
  </si>
  <si>
    <t>290</t>
  </si>
  <si>
    <t>Субвенции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федерального бюджета</t>
  </si>
  <si>
    <t>090</t>
  </si>
  <si>
    <t>Субвенции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</si>
  <si>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202</t>
  </si>
  <si>
    <t>2.02.35120.04.0110.150</t>
  </si>
  <si>
    <t>205</t>
  </si>
  <si>
    <t>Субвенции на обеспечение жильем отдельных категорий граждан, установленных Федеральным законам от 12 января 1995 года №5ФЗ "О ветеранах"</t>
  </si>
  <si>
    <t>2.02.35135.04.0110.150</t>
  </si>
  <si>
    <t>2.02.35502.04.0110.150</t>
  </si>
  <si>
    <t>249</t>
  </si>
  <si>
    <t>2.02.35502.04.0220.150</t>
  </si>
  <si>
    <t>049</t>
  </si>
  <si>
    <t>2.02.35508.04.0110.150</t>
  </si>
  <si>
    <t>237</t>
  </si>
  <si>
    <t>Субвенции на возмещение части затрат на поддержку племенного животноводства за счет средств федерального бюджета</t>
  </si>
  <si>
    <t>241</t>
  </si>
  <si>
    <t>Субвенции на возмещение части затрат на приобретение элитных семян за счет средств федерального бюджета</t>
  </si>
  <si>
    <t>252</t>
  </si>
  <si>
    <t>Субвенции на возмещение части затрат на поддержку собственного производства молока за счет средств федерального бюджета бюджета</t>
  </si>
  <si>
    <t>2.02.35508.04.0220.150</t>
  </si>
  <si>
    <t>КП - доходы Сентябрь</t>
  </si>
  <si>
    <t>КП - доходы Октябрь</t>
  </si>
  <si>
    <t>КП - доходы Ноябрь</t>
  </si>
  <si>
    <t>КП - доходы Декабрь</t>
  </si>
  <si>
    <t>НДФЛ</t>
  </si>
  <si>
    <t>Акцизы на нефтепродукты</t>
  </si>
  <si>
    <t>Упрощенная система налогообложения</t>
  </si>
  <si>
    <t xml:space="preserve">Единый налог на вмененный доход </t>
  </si>
  <si>
    <t>Земельный налог, в т.ч.</t>
  </si>
  <si>
    <t>Государственная пошлина</t>
  </si>
  <si>
    <t xml:space="preserve">Дивиденды </t>
  </si>
  <si>
    <t>Доходы от сдачи в аренду имущества</t>
  </si>
  <si>
    <t>Доходы от продажи земельных участков</t>
  </si>
  <si>
    <t>Штрафы</t>
  </si>
  <si>
    <t>Всего налоговые и неналоговые доходы</t>
  </si>
  <si>
    <t>Дотации , в том числе</t>
  </si>
  <si>
    <t>Субсидии , в том числе</t>
  </si>
  <si>
    <t>Дотации  на выравнивание бюджетной обеспеченности</t>
  </si>
  <si>
    <t>Дотации  на поддержку мер по обеспечению сбалансированности бюджетов</t>
  </si>
  <si>
    <t>Субсидии на организацию бесплатного горячего питания за счет средств областного бюджета</t>
  </si>
  <si>
    <t>Субсидии на дополнительное финансовое обеспечение мероприятий по организации бесплатного горячего питания</t>
  </si>
  <si>
    <t>2.02.25304.04.0110.150</t>
  </si>
  <si>
    <t>259</t>
  </si>
  <si>
    <t>Субсидии на обеспечение развития и укрепление материально-технической базы домов культуры за счет средств федерального бюджета</t>
  </si>
  <si>
    <t>Субсидии на обеспечение развития и укрепление материально-технической базы домов культуры за счет средств областного бюджета</t>
  </si>
  <si>
    <t>Субсидии на осуществление социальных выплат молодым семьям на приобретение жилья или строительство индивидуального жилого дома за счет средств областного бюджета</t>
  </si>
  <si>
    <t>Субсидии на  формирования современной городской среды за счет средств областного бюджета</t>
  </si>
  <si>
    <t>Субсидии на  формирования современной городской среды, фед.бюджет</t>
  </si>
  <si>
    <t>Субсидии на оказание частичной финансовой поддержки СМИ</t>
  </si>
  <si>
    <t>Субвенции, в том числе</t>
  </si>
  <si>
    <t xml:space="preserve">Субвенции на исполнение полномочий в сфере общего образования </t>
  </si>
  <si>
    <t>Субвенция на осуществление полномочий по организации мероприятий  по обращению с животными в части отлова и содержания животных без владельцев</t>
  </si>
  <si>
    <t>Субвенции на компенсацию части расходов по предоставлению путевки с частичной оплатой за счет средств областного бюджета в организации, осуществляющие санаторно-курортное лечение детей</t>
  </si>
  <si>
    <t xml:space="preserve">Субвенции на осуществление полномочий по организационно-техническому и информационно-методическому сопровождению аттестации педагогических работников </t>
  </si>
  <si>
    <t>Субвенции на проведение ремонта жилых помещений, собственниками которых являются дети-сироты</t>
  </si>
  <si>
    <t xml:space="preserve">Субвенция на исполнение государственных полномочий по финансовому обеспечению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</t>
  </si>
  <si>
    <t xml:space="preserve">Субвенции на исполнение полномочий по дополнительному финансовому обеспечению мероприятий по организации двухразового бесплатного питания </t>
  </si>
  <si>
    <t>Субвенция на исполнение полномочий по финансовому обеспечению выплаты компенсации педагогическим работникам за работу по подготовке и проведению государственной итоговой аттестации</t>
  </si>
  <si>
    <t xml:space="preserve">Субвенции на составление списков кандидатов в присяжные заседатели федеральных судов </t>
  </si>
  <si>
    <t xml:space="preserve">Субвенции на возмещение части затрат на поддержку собственного производства молока за счет средств областного бюджета </t>
  </si>
  <si>
    <t>Тыс.руб</t>
  </si>
  <si>
    <t>902</t>
  </si>
  <si>
    <t xml:space="preserve">Субсидии на обеспечение мероприятий по переселению граждан из аварийного жилищного фонда за счет средств государственной корпорации </t>
  </si>
  <si>
    <t>Субсидии на организацию бесплатного горячего питания за счет средств фед. бюджета</t>
  </si>
  <si>
    <t>Субсидии на реализацию мероприятий по благоустройству сельских территорий за счет средств федерального бюджета</t>
  </si>
  <si>
    <t>207</t>
  </si>
  <si>
    <t>Субвенции на ежемесячное денежное вознаграждение за классное руководство педагогическим работникам</t>
  </si>
  <si>
    <t>Иные межбюджетные трансферты</t>
  </si>
  <si>
    <t>Всего доходов</t>
  </si>
  <si>
    <t>Итого налоговые доходы</t>
  </si>
  <si>
    <t>Итого неналоговые доходы</t>
  </si>
  <si>
    <t xml:space="preserve">                                                      ПОМЕСЯЧНЫЙ АНАЛИЗ   ИСПОЛНЕНИЯ КОНСОЛИДИРОВАННОГО БЮДЖЕТА за 2020  год</t>
  </si>
  <si>
    <t>Наименование налога</t>
  </si>
  <si>
    <t>факт за 2020год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</si>
  <si>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</si>
  <si>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</si>
  <si>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</si>
  <si>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</si>
  <si>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</si>
  <si>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</si>
  <si>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</si>
  <si>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</si>
  <si>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</si>
  <si>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</si>
  <si>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</si>
  <si>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</si>
  <si>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Упрощенная система налогооб.</t>
  </si>
  <si>
    <t>Единый налог на вмененный доход</t>
  </si>
  <si>
    <t>ЕСХН</t>
  </si>
  <si>
    <t>патентная система налогообложения</t>
  </si>
  <si>
    <t>Налог на имущество физ.лиц.</t>
  </si>
  <si>
    <t>Земельный налог, втч</t>
  </si>
  <si>
    <t>с организаций</t>
  </si>
  <si>
    <t>физ.лиц</t>
  </si>
  <si>
    <t>Дивиденды по акциям</t>
  </si>
  <si>
    <t>аренда земли</t>
  </si>
  <si>
    <t xml:space="preserve"> аренду имущества</t>
  </si>
  <si>
    <t>Прочие доходы от использов. имущества</t>
  </si>
  <si>
    <t>Доходы от компенсации затрат бюд.мун.ра-ов</t>
  </si>
  <si>
    <t>Доходы от реализации имущества</t>
  </si>
  <si>
    <t>Плата за негативное воздействие на окруж.среду</t>
  </si>
  <si>
    <t xml:space="preserve">Денежные взыскания (штрафы) </t>
  </si>
  <si>
    <t>Прочие неналоговые доходы</t>
  </si>
  <si>
    <t>Итого  неналоговые доходы</t>
  </si>
  <si>
    <t>Итого налоговые и неналоговые доходы</t>
  </si>
  <si>
    <t xml:space="preserve">                                                      ПОМЕСЯЧНЫЙ АНАЛИЗ   ИСПОЛНЕНИЯ КОНСОЛИДИРОВАННОГО БЮДЖЕТА за 2019  год</t>
  </si>
  <si>
    <t>всего</t>
  </si>
  <si>
    <t>Налог на доходы физических лиц</t>
  </si>
  <si>
    <t>Задолженность по отмен.налогам и сборам</t>
  </si>
  <si>
    <t>Доходы от арендной платы за земельные участки</t>
  </si>
  <si>
    <t xml:space="preserve">                                                              ПОМЕСЯЧНЫЙ АНАЛИЗ   ИСПОЛНЕНИЯ КОНСОЛИДИРОВАННОГО БЮДЖЕТА за 2018  год</t>
  </si>
  <si>
    <t>Налог, взимаемый в связи с применением патентной системы налогообложения</t>
  </si>
  <si>
    <t>Дивиденды по акциям , находящимся 
в собственности района</t>
  </si>
  <si>
    <t xml:space="preserve">                                                                ПОМЕСЯЧНЫЙ АНАЛИЗ   ИСПОЛНЕНИЯ КОНСОЛИДИРОВАННОГО БЮДЖЕТА за 2017  год</t>
  </si>
  <si>
    <t xml:space="preserve">                                                              ПОМЕСЯЧНЫЙ АНАЛИЗ   ИСПОЛНЕНИЯ  КОНСОЛИДИРОВАННОГО БЮДЖЕТА за 2016  год</t>
  </si>
  <si>
    <t>Земельный налог</t>
  </si>
  <si>
    <t>Невыясненные поступления</t>
  </si>
  <si>
    <t>реестр</t>
  </si>
  <si>
    <t>План январь</t>
  </si>
  <si>
    <t>План февраль</t>
  </si>
  <si>
    <t>Доходы бюджетов городских округов от возврата бюджетными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</si>
  <si>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</si>
  <si>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План март</t>
  </si>
  <si>
    <t xml:space="preserve">                                                      ПОМЕСЯЧНЫЙ АНАЛИЗ   ИСПОЛНЕНИЯ КОНСОЛИДИРОВАННОГО БЮДЖЕТА за 2021  год</t>
  </si>
  <si>
    <t>факт за 2021год</t>
  </si>
  <si>
    <t>052</t>
  </si>
  <si>
    <t>1 кв</t>
  </si>
  <si>
    <t>Субсидии</t>
  </si>
  <si>
    <t>Субвенции</t>
  </si>
  <si>
    <t>Фонд поддержки территорий</t>
  </si>
  <si>
    <t>Анализ состояния финансовых ресурсов консолидированного бюджета</t>
  </si>
  <si>
    <t>по отчту СКИФ</t>
  </si>
  <si>
    <t>Показатель</t>
  </si>
  <si>
    <t>Налоговые   доходы</t>
  </si>
  <si>
    <t>- НДФЛ</t>
  </si>
  <si>
    <t>-Земельный налог</t>
  </si>
  <si>
    <t>-Имущественный налог с физ.лиц</t>
  </si>
  <si>
    <t>-Прочие налоговые доходы</t>
  </si>
  <si>
    <t>018</t>
  </si>
  <si>
    <t>Субсидии на реализацию проекта инициативного бюджетирования «Вам решать!</t>
  </si>
  <si>
    <t>089</t>
  </si>
  <si>
    <t>2 кв</t>
  </si>
  <si>
    <t>3 кв</t>
  </si>
  <si>
    <t>НДФЛ за  2021</t>
  </si>
  <si>
    <t>НДФЛ за 2019</t>
  </si>
  <si>
    <t>НДФЛ за 2020</t>
  </si>
  <si>
    <t>%роста</t>
  </si>
  <si>
    <t>% роста</t>
  </si>
  <si>
    <t>Патентная система налогообложения</t>
  </si>
  <si>
    <t>Субсидии на поддержку отрасли культуры за счет средств областного бюджета</t>
  </si>
  <si>
    <t>Субсидии на поддержку отрасли культуры за счет средств федерального бюджета</t>
  </si>
  <si>
    <t>242</t>
  </si>
  <si>
    <t>080</t>
  </si>
  <si>
    <t>Резервный фонд  правительства НО</t>
  </si>
  <si>
    <t>088</t>
  </si>
  <si>
    <t>Доходы от компенсации затрат (коммун)</t>
  </si>
  <si>
    <t>возврат субвенций</t>
  </si>
  <si>
    <t>План год</t>
  </si>
  <si>
    <t>УСН</t>
  </si>
  <si>
    <t>ЕНВД</t>
  </si>
  <si>
    <t>Патент</t>
  </si>
  <si>
    <t>Госпошлина</t>
  </si>
  <si>
    <t>Налог на имущество физ.лиц</t>
  </si>
  <si>
    <t>втч юр.лица</t>
  </si>
  <si>
    <t>втч физ.лица</t>
  </si>
  <si>
    <t>Дивиденды</t>
  </si>
  <si>
    <t>Аренда земли</t>
  </si>
  <si>
    <t>Аренда им-ва</t>
  </si>
  <si>
    <t>Продажа им-ва</t>
  </si>
  <si>
    <t>Продажа земли</t>
  </si>
  <si>
    <t>Плата за негат.возд.</t>
  </si>
  <si>
    <t>Компенсация затрат</t>
  </si>
  <si>
    <t>Всего бюджет</t>
  </si>
  <si>
    <t>121</t>
  </si>
  <si>
    <t>Субсидии на реализацию мероприятий в рамках адресной инвестиционной программы</t>
  </si>
  <si>
    <t>206</t>
  </si>
  <si>
    <t>006</t>
  </si>
  <si>
    <t>257</t>
  </si>
  <si>
    <t>245</t>
  </si>
  <si>
    <t>007</t>
  </si>
  <si>
    <t>Субсидии на содержание объектов благоустройства и общественных территорий</t>
  </si>
  <si>
    <t>072</t>
  </si>
  <si>
    <t>Субсидии на создание контейнерных площадок</t>
  </si>
  <si>
    <t>042</t>
  </si>
  <si>
    <t>Субвенции на осуществление полномочий по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в части обеспечения безопасности сибиреязвенных скотомогильников</t>
  </si>
  <si>
    <t>Субвенция на обеспечение прироста сельскохозяйственной продукции собственного производства в рамках приоритетных подотраслей агропромышленного комплекса на возмещение части затрат, связанных с производством, реализацией и (или) отгрузкой на собственную переработку сельскохозяйственных культур по ставке на 1 гектар за счет средств федерального бюджета</t>
  </si>
  <si>
    <t>071</t>
  </si>
  <si>
    <t>Субсидии на создание новых мест в общеобраз.организациях за счет средств обл. бюджета</t>
  </si>
  <si>
    <t>Субсидии на создание новых мест в общеобраз.организациях за счет средств фед. бюджета</t>
  </si>
  <si>
    <t xml:space="preserve"> на предоставление социальных выплат на возмещение части процентной ставки по кредитам</t>
  </si>
  <si>
    <t>на приобретение мусорных контейнеров и (или) бункеров</t>
  </si>
  <si>
    <t>Субсидии на ликвидацию свалок и объектов размещения отходов</t>
  </si>
  <si>
    <t>Субсидии на реализацию мероприятий в рамках проекта "Память поколений"</t>
  </si>
  <si>
    <t>Субвенции на исполнение полномочий в сфере общего образования в дошкольных организациях</t>
  </si>
  <si>
    <t>004</t>
  </si>
  <si>
    <t>Единая субвенция бюджетам городских округов</t>
  </si>
  <si>
    <t>076</t>
  </si>
  <si>
    <t>032</t>
  </si>
  <si>
    <t>002</t>
  </si>
  <si>
    <t>031</t>
  </si>
  <si>
    <t xml:space="preserve">Субвенции 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</t>
  </si>
  <si>
    <t>084  085</t>
  </si>
  <si>
    <t>Инициативные платежи -Мероприятия по благоустройству сел.тер.  за счет средств населения</t>
  </si>
  <si>
    <t xml:space="preserve">Инициативные платежи -Мероприятия по благоустройству сел.тер. за счет средств организаций </t>
  </si>
  <si>
    <t xml:space="preserve">Субсидии на обеспечение мероприятий по переселению граждан из аварийного жилищного фонда за счет средств обл.бюд. </t>
  </si>
  <si>
    <t>Субсидии на проведение ремонта дворовых территорий</t>
  </si>
  <si>
    <t>019</t>
  </si>
  <si>
    <t>026</t>
  </si>
  <si>
    <t>073</t>
  </si>
  <si>
    <t>Доходы от комп.затрат (возврат субвен)</t>
  </si>
  <si>
    <t>31</t>
  </si>
  <si>
    <t>Субсидии на капитальный ремонт и ремонт автомобильных дорог</t>
  </si>
  <si>
    <t>005</t>
  </si>
  <si>
    <t>Субсидии на реализацию мероприятий по благоустройству сельских территорий за счет средств обл бюджета</t>
  </si>
  <si>
    <t>План апрель</t>
  </si>
  <si>
    <t>Безвозмездные поступления от др.бюджетов</t>
  </si>
  <si>
    <t xml:space="preserve">Всего </t>
  </si>
  <si>
    <t xml:space="preserve">                                                      ПОМЕСЯЧНЫЙ АНАЛИЗ   ИСПОЛНЕНИЯ КОНСОЛИДИРОВАННОГО БЮДЖЕТА за 2022  год</t>
  </si>
  <si>
    <t>факт за 2022год</t>
  </si>
  <si>
    <t>Плата за негативное воз.на окруж.среду</t>
  </si>
  <si>
    <t>Доходы от комп.затрат(нестац.объекты, возв.от очист. эколос)</t>
  </si>
  <si>
    <t>штрафы</t>
  </si>
  <si>
    <t>инициативы</t>
  </si>
  <si>
    <t>Дотации</t>
  </si>
  <si>
    <t>НДФЛ за 2022</t>
  </si>
  <si>
    <t>078</t>
  </si>
  <si>
    <t>033</t>
  </si>
  <si>
    <t>Налоговые и неналоговые  доходы всего</t>
  </si>
  <si>
    <t>на софинансирование капитальных вложений</t>
  </si>
  <si>
    <t>на осуществление дорожной деятельности в отношении авт. дорог общего пользования, а также кап.ремонта дворовых терр.</t>
  </si>
  <si>
    <t>по переселению граждан из аварийного жилищного</t>
  </si>
  <si>
    <t>на создание условий для занятий физической культурой и спортом</t>
  </si>
  <si>
    <t>на поддержку отрасли культурынаи и укрепление материально-технической базы домов культуры</t>
  </si>
  <si>
    <t>Прочие субсидии</t>
  </si>
  <si>
    <t>Формирование современной городской среды</t>
  </si>
  <si>
    <t>Обеспечение жильем молодых семей</t>
  </si>
  <si>
    <t>на сокращение доли загрязненных сточных вод</t>
  </si>
  <si>
    <t>Бесплатное горячее питание обучающихся</t>
  </si>
  <si>
    <t>Комплексное развитие сельс.территорий</t>
  </si>
  <si>
    <t>Создание новых мест в общеобраз.организ.</t>
  </si>
  <si>
    <t>Налоговые и неналоговые  на 1 жителя</t>
  </si>
  <si>
    <t>Жители(к-во)</t>
  </si>
  <si>
    <t>Всего доходов за минусом субвенции</t>
  </si>
  <si>
    <t>Доля налоговых и неналоговых доходов в общем объеме доходов.тыс.р</t>
  </si>
  <si>
    <t>Доля налоговых и неналоговых доходов в общем объеме доходов %</t>
  </si>
  <si>
    <t>трансферты</t>
  </si>
  <si>
    <t xml:space="preserve">Исполнено за 2022г </t>
  </si>
  <si>
    <t>Исполнено за  2021г</t>
  </si>
  <si>
    <t>21</t>
  </si>
  <si>
    <t>13</t>
  </si>
  <si>
    <t>201</t>
  </si>
  <si>
    <t>221</t>
  </si>
  <si>
    <t>269</t>
  </si>
  <si>
    <t>Исполнено декабрь</t>
  </si>
  <si>
    <t>Акцизы на нефтепродукты (16240,2 прогноз казначейства)</t>
  </si>
  <si>
    <t>ВСЕГО</t>
  </si>
  <si>
    <t xml:space="preserve"> на финансовое обеспечение деятельности центров образования цифрового и гуманитарного профилей "Точка роста" </t>
  </si>
  <si>
    <t xml:space="preserve"> на поощрение муниципальных управленческих команд (фед)</t>
  </si>
  <si>
    <t>на возмещение затрат на подготовку проектов межевания земельных участков  и на проведение кадастровых работ (фед)</t>
  </si>
  <si>
    <t xml:space="preserve"> на выплату заработной платы
 (с начислениями на нее) работникам муниципальных учреждений и органов местного самоуправления</t>
  </si>
  <si>
    <t>219</t>
  </si>
  <si>
    <t>021</t>
  </si>
  <si>
    <t xml:space="preserve">Уточненный план 2022г </t>
  </si>
  <si>
    <t>на обеспечение оснащения муниципальных общеобразовательных организаций, государственными символами РФ(обл)</t>
  </si>
  <si>
    <t>13.12</t>
  </si>
  <si>
    <t>25</t>
  </si>
  <si>
    <t xml:space="preserve">Уточненный план 2023г </t>
  </si>
  <si>
    <t xml:space="preserve">Исполнено за 2023г </t>
  </si>
  <si>
    <t>Безвозмездные поступления от государственных (муниципальных) организаций( возврат субвенций)</t>
  </si>
  <si>
    <t>Субсидии на приобретение контейнеров для раздельного накопления твердых коммунальных отходов  за счет средств областного бюджета</t>
  </si>
  <si>
    <t>Упрощенная система налогооблож.</t>
  </si>
  <si>
    <t>Доходы от аренды за земельные уч.</t>
  </si>
  <si>
    <t>056</t>
  </si>
  <si>
    <t>027</t>
  </si>
  <si>
    <t>013</t>
  </si>
  <si>
    <t>Субсидии на приобретение контейнеров  и бункеров</t>
  </si>
  <si>
    <t>039</t>
  </si>
  <si>
    <t>Субсидии на реализацию мероприятий по исполнению требований по антитеррористической защищенности объектов образования</t>
  </si>
  <si>
    <t>Субвенция на стимулирование увеличения производства картофеля и овощей за счет средств федерального бюджета</t>
  </si>
  <si>
    <t>Субвенция на стимулирование увеличения производства картофеля и овощей за счет средств областного бюджета</t>
  </si>
  <si>
    <t>Исполнение за Май</t>
  </si>
  <si>
    <t>Исполнение за Июнь</t>
  </si>
  <si>
    <t>Исполнение за Июль</t>
  </si>
  <si>
    <t>Исполнено за январь</t>
  </si>
  <si>
    <t>003</t>
  </si>
  <si>
    <t>Исполнено  февраль</t>
  </si>
  <si>
    <t>011</t>
  </si>
  <si>
    <t>220</t>
  </si>
  <si>
    <t>Плата по соглашениям об установлении сервитута</t>
  </si>
  <si>
    <t>реестр за 19.02</t>
  </si>
  <si>
    <t xml:space="preserve">отклонение от  первонач. плана </t>
  </si>
  <si>
    <t>тыс.руб</t>
  </si>
  <si>
    <t>Исполнено за Март</t>
  </si>
  <si>
    <t>Доходы от комп.затрат(нестац.объекты)</t>
  </si>
  <si>
    <t>Доходы от продажи земли</t>
  </si>
  <si>
    <t>Cсубсидии на капитальный ремонт образовательных организаций</t>
  </si>
  <si>
    <t>Субвенции на возмещение производителям зерновых культур части затрат на производство и реализацию за счет средств фед. бюджета</t>
  </si>
  <si>
    <t>Субвенции на возмещение производителям зерновых культур части затрат на производство и реализацию за счет средств обл. бюджета</t>
  </si>
  <si>
    <t>Субвенция на обеспечение прироста сельхозпродукции собственного производства на возмещение части затрат, связанных с производством, реализацией и (или) отгрузкой на собственную переработку сельскохозяйственных культур по ставке на 1 гектар за счет средств областного бюджета</t>
  </si>
  <si>
    <t xml:space="preserve"> на проведение мероприятий по обеспечению деятельности советников директора по воспитанию и взаимодействию с детскими общественными объединениями  (обл)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</si>
  <si>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объединениями(фед)</t>
  </si>
  <si>
    <t>Первонач.. План М.Ф. на 2022 год</t>
  </si>
  <si>
    <t>Первонач.. План М.Ф. на 2023 год</t>
  </si>
  <si>
    <t xml:space="preserve">% исполнения за 2023г к уточненному плану </t>
  </si>
  <si>
    <t>Исполнено за апрель</t>
  </si>
  <si>
    <t xml:space="preserve">Инициативные платежи </t>
  </si>
  <si>
    <t>Прочие неналоговые доходы/ невыясненные платежи</t>
  </si>
  <si>
    <t>Субсидии на организацию празднования памятных дат муниципальных образований</t>
  </si>
  <si>
    <t>082</t>
  </si>
  <si>
    <t>на реализацию социально значимых мероприятий в рамках решения местного значения</t>
  </si>
  <si>
    <t>Всего доходы</t>
  </si>
  <si>
    <t>Собственные</t>
  </si>
  <si>
    <t>Безвозмездные</t>
  </si>
  <si>
    <t>1.1</t>
  </si>
  <si>
    <t>1.2</t>
  </si>
  <si>
    <t>дотации</t>
  </si>
  <si>
    <t>субвенции</t>
  </si>
  <si>
    <t>ИМТ</t>
  </si>
  <si>
    <t>1.2.3</t>
  </si>
  <si>
    <t>1.2.4</t>
  </si>
  <si>
    <t>1.2.5</t>
  </si>
  <si>
    <t>1.2.6</t>
  </si>
  <si>
    <t>1.2.7</t>
  </si>
  <si>
    <t>субсидии</t>
  </si>
  <si>
    <t>1.2.8</t>
  </si>
  <si>
    <t>1.2.9</t>
  </si>
  <si>
    <t>от гос. организаций (возврат субвенций)</t>
  </si>
  <si>
    <t>Возвраты прошых лет</t>
  </si>
  <si>
    <t>2</t>
  </si>
  <si>
    <t>Доп.норматив от НДФЛ</t>
  </si>
  <si>
    <t>3</t>
  </si>
  <si>
    <t>Доля дотации  ( стр 1.2.3 +стр2) / (стр1 -стр1.2.5)</t>
  </si>
  <si>
    <t xml:space="preserve">Инициативы </t>
  </si>
  <si>
    <t>Исполнено за Август</t>
  </si>
  <si>
    <t>Исполнено за Сентябрь</t>
  </si>
  <si>
    <t>ожидаемое декабрь 2023</t>
  </si>
  <si>
    <t>ожидаемое ноябрь 2023</t>
  </si>
  <si>
    <t>Доходы от комп.затрат (возврат субвенции 11,8)вырубка насаждений 1483,7</t>
  </si>
  <si>
    <t>054</t>
  </si>
  <si>
    <t xml:space="preserve">на предоставление грантов в целях поощрения  округов , достигающих наилучших результатов в сфере повышения эффективности бюджетных расходов </t>
  </si>
  <si>
    <t xml:space="preserve">% исполнения за 2023г к первонач. плану </t>
  </si>
  <si>
    <t>% исполнения за 9 мес 2023 к 2022г</t>
  </si>
  <si>
    <t>отклонение исполн. 9 мес 2023 к 2022г</t>
  </si>
  <si>
    <t>Исполнено за 10 мес  2022г</t>
  </si>
  <si>
    <t>Исполнено за Октябрь</t>
  </si>
  <si>
    <t>отклонение к уточнен. плану год</t>
  </si>
  <si>
    <t>Благоустройство сельских территорий</t>
  </si>
  <si>
    <t>ожид год</t>
  </si>
  <si>
    <t>Доходы от приватизации имущества</t>
  </si>
  <si>
    <t>ожидаемое 10</t>
  </si>
  <si>
    <r>
      <t xml:space="preserve">Перечисления  для осуществления возврата (зачета) излишне уплаченных или излишне взысканных сумм налогов, сборов и иных платежей                                       </t>
    </r>
    <r>
      <rPr>
        <b/>
        <sz val="14"/>
        <color rgb="FF000000"/>
        <rFont val="Times New Roman"/>
        <family val="1"/>
        <charset val="204"/>
      </rPr>
      <t>( зем.налог с юр. лиц)</t>
    </r>
  </si>
  <si>
    <t>Исполнено за ноябрь</t>
  </si>
  <si>
    <t xml:space="preserve">Уточ. план округ за 11 мес 2023 г </t>
  </si>
  <si>
    <t xml:space="preserve">Отклон к уточ. план округ 11 мес 2023 г </t>
  </si>
  <si>
    <t>Отклон.   к плану Мин.фин  за          11 мес.</t>
  </si>
  <si>
    <t>Отклон.  к плану за ноябрь</t>
  </si>
  <si>
    <t xml:space="preserve">План Мин.фин. за 11 мес 2023 г </t>
  </si>
  <si>
    <t>Субсидии на ремонт (капитальный ремонт) зданий (помещений) муниципальной собственности</t>
  </si>
  <si>
    <t>091</t>
  </si>
  <si>
    <t>Исполнено за декабрь</t>
  </si>
  <si>
    <t>НДФЛ за 2023</t>
  </si>
  <si>
    <t>Исполнено за январь 2023 г</t>
  </si>
  <si>
    <t>План
 1 кв.</t>
  </si>
  <si>
    <t>План
 2 кв.</t>
  </si>
  <si>
    <t>План
 3 кв.</t>
  </si>
  <si>
    <t>План 
4 кв.</t>
  </si>
  <si>
    <t>Акцизы</t>
  </si>
  <si>
    <t>Кассовый план январь</t>
  </si>
  <si>
    <t xml:space="preserve">Уточненный план 2024г </t>
  </si>
  <si>
    <t>Субсидии на обеспечение мероприятий по переселению граждан из аварийного жилищного фонда за счет средств публично - правовой компании "Фонд развития территорий"</t>
  </si>
  <si>
    <t>Субсидии на снос расселенных многоквартирных жилых домов в муниципальных образованиях Нижегородской области, признанных аварийными</t>
  </si>
  <si>
    <t>Субсидии на реализацию мероприятий по финансовому обеспечению бесплатным двухразовым питанием обучающихся с ограниченными возможностями здоровья</t>
  </si>
  <si>
    <t>Субсидии на разработку проектной документации на ликвидацию (рекультивацию) свалок отходов</t>
  </si>
  <si>
    <t>128</t>
  </si>
  <si>
    <t>Субвенции на осуществление выплат, предусмотренных Законом Нижегородской области "О мерах по развитию кадрового потенциала сельскохозяйственного производства Нижегородской области"</t>
  </si>
  <si>
    <t xml:space="preserve">Субвенции на обеспечение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 </t>
  </si>
  <si>
    <t>Невыясненные</t>
  </si>
  <si>
    <t>Кассовый план февраль</t>
  </si>
  <si>
    <t xml:space="preserve">  ИСПОЛНЕНИЕ  БЮДЖЕТА  ГОРОДСКОГО ОКРУГА ВОРОТЫНСКИЙ за 2023 год</t>
  </si>
  <si>
    <t>Кассовый план март</t>
  </si>
  <si>
    <t>214</t>
  </si>
  <si>
    <t>014</t>
  </si>
  <si>
    <t>Субвенции на поддержку проведения агротехнологических работ, повышение уровня экологической безопасности сельскохозяйственного производств( областной бюджет)</t>
  </si>
  <si>
    <t>Субвенции на поддержку проведения агротехнологических работ, повышение уровня экологической безопасности сельскохозяйственного производств(федеральный бюджет)</t>
  </si>
  <si>
    <t>Кассовый план апрель</t>
  </si>
  <si>
    <t>Кассовый план 1 кв</t>
  </si>
  <si>
    <t xml:space="preserve">Субсидии на материально-техническое оснащение муниципальных учреждений культуры </t>
  </si>
  <si>
    <t>034</t>
  </si>
  <si>
    <t>Субсидии на реализацию мероприятий в рамках адресной инвестиционной программы (Капитальный ремонт кровли МАУ ДО ФОК "Волга" в р.п.Воротынец)</t>
  </si>
  <si>
    <t>043</t>
  </si>
  <si>
    <t xml:space="preserve">Субсидии на реализацию мероприятий по модернизации пищеблоков </t>
  </si>
  <si>
    <t>Кассовый план май</t>
  </si>
  <si>
    <t>Кассовый план июнь</t>
  </si>
  <si>
    <t>Доходы от компенсации затрат (коммунальные)</t>
  </si>
  <si>
    <t>060</t>
  </si>
  <si>
    <t>Субвенция на поддержку мясного скотоводства за счет средств  областного бюджета</t>
  </si>
  <si>
    <t>Субвенция на поддержку мясного скотоводства за счет средств  федерального бюджета</t>
  </si>
  <si>
    <t>НДФЛ 2023 год</t>
  </si>
  <si>
    <t>НДФЛ 2024 год</t>
  </si>
  <si>
    <t>итого 5 мес</t>
  </si>
  <si>
    <t>АНАЛИЗ  ИСПОЛНЕНИЕ  БЮДЖЕТА  ГОРОДСКОГО ОКРУГА ВОРОТЫНСКИЙ  по НДФЛ</t>
  </si>
  <si>
    <t>% исполнения к первонач. плану МФ</t>
  </si>
  <si>
    <t>Кассовый план июль</t>
  </si>
  <si>
    <t>235</t>
  </si>
  <si>
    <t>035</t>
  </si>
  <si>
    <t>Кассовый план август</t>
  </si>
  <si>
    <t>Кассовый план сентябрь</t>
  </si>
  <si>
    <t>Кассовый план октябрь</t>
  </si>
  <si>
    <t>Кассовый план ноябрь</t>
  </si>
  <si>
    <t>Кассовый план декабрь</t>
  </si>
  <si>
    <t xml:space="preserve">Субвенции на исполнение полномочий  по финансовому обеспечению выплат ежемесячного денежного вознаграждения советникам директоров </t>
  </si>
  <si>
    <t>238</t>
  </si>
  <si>
    <t>203</t>
  </si>
  <si>
    <t>за 9 мес</t>
  </si>
  <si>
    <t xml:space="preserve">Исполнено за декабрь 2023 </t>
  </si>
  <si>
    <t xml:space="preserve"> Уточнение  БЮДЖЕТА  ГОРОДСКОГО ОКРУГА ВОРОТЫНСКИЙ </t>
  </si>
  <si>
    <t>(наименование органа, исполняющего бюджет)</t>
  </si>
  <si>
    <t>Единица измерения руб.</t>
  </si>
  <si>
    <t>Зачислено</t>
  </si>
  <si>
    <t>Бюджетные назначения на 01.12.24</t>
  </si>
  <si>
    <t>Вносиммые изменения</t>
  </si>
  <si>
    <t>1.00.00000.00.0000.000</t>
  </si>
  <si>
    <t>НАЛОГОВЫЕ И НЕНАЛОГОВЫЕ ДОХОДЫ</t>
  </si>
  <si>
    <t>1.01.02000.01.0000.110</t>
  </si>
  <si>
    <t>1.01.02010.01.0000.110</t>
  </si>
  <si>
    <t>1.01.02020.01.0000.110</t>
  </si>
  <si>
    <t>1.01.02030.01.0000.110</t>
  </si>
  <si>
    <t>1.01.02030.01.3000.110</t>
  </si>
  <si>
    <t>1.01.02040.01.0000.110</t>
  </si>
  <si>
    <t>1.01.02080.01.0000.110</t>
  </si>
  <si>
    <t>1.01.02130.01.0000.110</t>
  </si>
  <si>
    <t>1.03.02231.01.0000.110</t>
  </si>
  <si>
    <t>1.03.02241.01.0000.110</t>
  </si>
  <si>
    <t>1.03.02251.01.0000.110</t>
  </si>
  <si>
    <t>1.03.02261.01.0000.110</t>
  </si>
  <si>
    <t>Налог, взимаемый в связи с применением упрощенной системы налогообложения</t>
  </si>
  <si>
    <t>1.05.01011.01.1000.110</t>
  </si>
  <si>
    <t>1.05.01011.01.3000.110</t>
  </si>
  <si>
    <t>1.05.01020.01.0000.110</t>
  </si>
  <si>
    <t>Единый налог на вмененный доход для отдельных видов деятельности</t>
  </si>
  <si>
    <t>1.06.06000.00.0000.110</t>
  </si>
  <si>
    <t>1.06.06032.04.1000.110</t>
  </si>
  <si>
    <t>1.06.06042.04.1000.110</t>
  </si>
  <si>
    <t>1.08.03000.01.0000.110</t>
  </si>
  <si>
    <t>Государственная пошлина по делам, рассматриваемым в судах общей юрисдикции, мировыми судьями</t>
  </si>
  <si>
    <t>1.08.03010.01.1050.110</t>
  </si>
  <si>
    <t>1.08.03010.01.1060.110</t>
  </si>
  <si>
    <t>Итого налоговые</t>
  </si>
  <si>
    <t>1.11.01040.04.0000.120</t>
  </si>
  <si>
    <t>1.11.05012.04.0000.120</t>
  </si>
  <si>
    <t>1.11.05034.04.0000.120</t>
  </si>
  <si>
    <t>1.11.05312.04.0000.120</t>
  </si>
  <si>
    <t xml:space="preserve">Плата по соглашениям об установлении сервитута, </t>
  </si>
  <si>
    <t>1.12.01010.01.6000.120</t>
  </si>
  <si>
    <t>1.12.01030.01.6000.120</t>
  </si>
  <si>
    <t>1.12.01041.01.6000.120</t>
  </si>
  <si>
    <t>1.13.00000.00.0000.000</t>
  </si>
  <si>
    <t>ДОХОДЫ ОТ ОКАЗАНИЯ ПЛАТНЫХ УСЛУГ И КОМПЕНСАЦИИ ЗАТРАТ ГОСУДАРСТВА</t>
  </si>
  <si>
    <t>1.13.02064.04.0000.130</t>
  </si>
  <si>
    <t>1.13.02994.04.0000.130</t>
  </si>
  <si>
    <t>1.14.06012.04.0000.430</t>
  </si>
  <si>
    <t>1.14.13040.04.0000.410</t>
  </si>
  <si>
    <t>1.17.05040.04.0000.180</t>
  </si>
  <si>
    <t>Прочие неналоговые доходы бюджетов городских округов</t>
  </si>
  <si>
    <t>1.17.15000.00.0000.150</t>
  </si>
  <si>
    <t>Инициативные платежи</t>
  </si>
  <si>
    <t>Итого неналоговые</t>
  </si>
  <si>
    <t>акции</t>
  </si>
  <si>
    <t xml:space="preserve">Доходы, получаемые в виде арендной платы за земельные участки, </t>
  </si>
  <si>
    <t xml:space="preserve">Доходы от сдачи в аренду имущества, </t>
  </si>
  <si>
    <t xml:space="preserve">Доходы от продажи земельных участков, </t>
  </si>
  <si>
    <t>Бюджетные назначения на 31.12.24,руб</t>
  </si>
  <si>
    <t>Бюджетные назначения на 31.12.24,тыс.руб</t>
  </si>
  <si>
    <t xml:space="preserve">Исполнение за декабрь </t>
  </si>
  <si>
    <t xml:space="preserve">Доходы от продажи земли/ уточнили </t>
  </si>
  <si>
    <t>1.12.01010.01.0000.120</t>
  </si>
  <si>
    <t>Доходы от комп.затрат, расторжение контракта 45,9; адм реш.суда 3,9  образов 8</t>
  </si>
  <si>
    <t>Исполнено за  2022г</t>
  </si>
  <si>
    <t>Безвозмездные поступления от государственных (муниципальных) организаций( возврат субвенций)/ прочие</t>
  </si>
  <si>
    <t>Исполнено за 2024 г</t>
  </si>
  <si>
    <t xml:space="preserve">  ИСПОЛНЕНИЕ  БЮДЖЕТА  ГОРОДСКОГО ОКРУГА ВОРОТЫНСКИЙ за 2024 год</t>
  </si>
  <si>
    <t>НДФЛ 2025 год</t>
  </si>
  <si>
    <t>% роста к 2024 к 2023</t>
  </si>
  <si>
    <t>ПЛАН СБОРА НАЛОГОВЫХ И НЕНАЛОГОВЫХ  ДОХОДОВ   НА 2025 год</t>
  </si>
  <si>
    <t>Прочие поступл. от имущества</t>
  </si>
  <si>
    <t>комун</t>
  </si>
  <si>
    <t>объекты</t>
  </si>
  <si>
    <t>Кассовый план год  МФ 2025</t>
  </si>
  <si>
    <t xml:space="preserve">Субсидии на реализацию мероприятий по обустройству и восстановлению памятных мест, посвященных Великой Отечественной войне 1941 - 1945 годов </t>
  </si>
  <si>
    <t>038</t>
  </si>
  <si>
    <t>040</t>
  </si>
  <si>
    <t>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</si>
  <si>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 xml:space="preserve"> на предоставление социальных выплат на возмещение части процентной ставки по кредитам, полученным гражданами на газификацию</t>
  </si>
  <si>
    <t>Отклон.  к плану  январь</t>
  </si>
  <si>
    <t>Доходы от компенсации затрат (нестац.объекты)</t>
  </si>
  <si>
    <t xml:space="preserve">Доходы от продажи земли </t>
  </si>
  <si>
    <t xml:space="preserve">Перечисления  для осуществления возврата (зачета) излишне уплаченных или излишне взысканных сумм налогов, сборов и иных платежей                                       </t>
  </si>
  <si>
    <t>Исполнено за 2025 г</t>
  </si>
  <si>
    <t>Исполнено за Май</t>
  </si>
  <si>
    <t xml:space="preserve">Субсидии на обеспечение командирования спортсменов до 18 лет </t>
  </si>
  <si>
    <t xml:space="preserve">отклон. от  первонач. плана МФ </t>
  </si>
  <si>
    <t>% исполнения за 2025г к 2024</t>
  </si>
  <si>
    <t>Доходы от компенсации затрат (вырубка  насаждений )</t>
  </si>
  <si>
    <t>Субсидии на приобретение автотранспорта в целях обеспечения потребности по отрасли "Физическая культура и спорт"</t>
  </si>
  <si>
    <t>050</t>
  </si>
  <si>
    <t>в тч спирт завод 2025</t>
  </si>
  <si>
    <t>в тч спирт завод 2024</t>
  </si>
  <si>
    <t>% роста к 2025 к 2024 за мин спиртзавода</t>
  </si>
  <si>
    <t xml:space="preserve"> в тч ремстрой</t>
  </si>
  <si>
    <t>2024 за минусом выпадающих</t>
  </si>
  <si>
    <t xml:space="preserve"> в тч ремстрой 2025</t>
  </si>
  <si>
    <t>2025 за минусом выпадающих</t>
  </si>
  <si>
    <t>Исполнено год</t>
  </si>
  <si>
    <t>прогноз 2025</t>
  </si>
  <si>
    <t xml:space="preserve">Субвенции на обеспечение жильем отдельных категорий граждан, установленных Федеральным законом от 12 января 1995 года №5ФЗ "О ветеранах", в соответствии с Указом Президента Российской Федерации от 7 мая 2008 года №714 "Об обеспечении </t>
  </si>
  <si>
    <t>204</t>
  </si>
  <si>
    <t>(тыс. рублей)</t>
  </si>
  <si>
    <t xml:space="preserve">Наименование </t>
  </si>
  <si>
    <t>Фактическое исполненение за 2024 год</t>
  </si>
  <si>
    <t>Первоначальный 
 план на 2025 год</t>
  </si>
  <si>
    <t>Уточненный 
план на 2025 годна 01.10.2025</t>
  </si>
  <si>
    <t>Исполнено на 01.10.2025</t>
  </si>
  <si>
    <t>Исполнено на 01.11.2025</t>
  </si>
  <si>
    <t>ожидаемое исполнение</t>
  </si>
  <si>
    <t>Отклонение +;-  от уточн. годового плана (тыс.руб)</t>
  </si>
  <si>
    <t>Откл.
от уточн. годового плана ( %)</t>
  </si>
  <si>
    <t>ноябрь-декабрь</t>
  </si>
  <si>
    <t>2025 год</t>
  </si>
  <si>
    <t>ДОХОДЫ</t>
  </si>
  <si>
    <t>Налог, взимаемый с применением патентной системы</t>
  </si>
  <si>
    <t xml:space="preserve">Дивиденды по акциям </t>
  </si>
  <si>
    <t xml:space="preserve">Плата по соглашениям об установлении сервитута </t>
  </si>
  <si>
    <t>Доходы от сдачи в  аренду земельных участков</t>
  </si>
  <si>
    <t>Прочие доходы от использования имущества</t>
  </si>
  <si>
    <t>Прочие доходы от компенсации затрат</t>
  </si>
  <si>
    <t>Плата за негативное воздейст.на окруж.среду</t>
  </si>
  <si>
    <t xml:space="preserve">Прочие доходы от использования имущества </t>
  </si>
  <si>
    <t xml:space="preserve">Иинициативные платежи </t>
  </si>
  <si>
    <t xml:space="preserve">Невыясненные платежи </t>
  </si>
  <si>
    <t>Всего, налоговые и неналоговые доходы</t>
  </si>
  <si>
    <t xml:space="preserve">Безвозмездные поступления всего  </t>
  </si>
  <si>
    <t>Дотации всего, в т.ч.</t>
  </si>
  <si>
    <t xml:space="preserve">Дотации  выравнивание </t>
  </si>
  <si>
    <t xml:space="preserve">Дотации  на обеспечение сбалансированности </t>
  </si>
  <si>
    <t>Прочие дотации</t>
  </si>
  <si>
    <t>Субсидии от других бюджетов бюджетной системы РФ</t>
  </si>
  <si>
    <t>Субвенции от других бюджетов бюджетной системы РФ</t>
  </si>
  <si>
    <t>Прочие безвозмездные поступления от государственных (муниципальных) организаций в бюджеты городских округов</t>
  </si>
  <si>
    <t xml:space="preserve">Доходы от возвртата субсидий, субвенций и иных межбюджетных траснфертов прошлых лет </t>
  </si>
  <si>
    <t xml:space="preserve">Возврат остатков субсидий, субвенц. и меж.трансфертов прошлых лет </t>
  </si>
  <si>
    <t xml:space="preserve">Перечисления для осуществления возвратов (зачета) излишне уплаченных сумм налогов, сборов и иных платежей </t>
  </si>
  <si>
    <t>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</si>
  <si>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</si>
  <si>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</si>
  <si>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</si>
  <si>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</si>
  <si>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</si>
  <si>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</si>
  <si>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</si>
  <si>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</si>
  <si>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</si>
  <si>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</si>
  <si>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(муниципального) внутреннего  долга</t>
  </si>
  <si>
    <t>ВСЕГО расходы</t>
  </si>
  <si>
    <t>Дефицит, профицит (-,+)</t>
  </si>
  <si>
    <t>Источники финансирования дефицита</t>
  </si>
  <si>
    <t>Привлечение бюджетных кредитов из других бюджетов</t>
  </si>
  <si>
    <t xml:space="preserve">Увеличение активов в собственности городских округоа за счет средств на казначейских счетах бюджетных и автономных учреждений </t>
  </si>
  <si>
    <t>Изменение остатков средств бюджета</t>
  </si>
  <si>
    <t>Акции и иные формы участия в капитале</t>
  </si>
  <si>
    <t>Прочие безвозмездные поступления от государственных (муниципальных) организаций в бюджеты городских округов (возврат по результатам проверки)</t>
  </si>
  <si>
    <t>01.11.2025 Оценка ожидаемого исполнения бюджета городского округа Воротынский за 2025 год</t>
  </si>
  <si>
    <t>Исполнено за 11 мес     2024 г</t>
  </si>
  <si>
    <t>Субсидии на подготовку проектов межевания земельных участков и на проведение кадастровых работ за счет средств фед.бюджета</t>
  </si>
  <si>
    <t>Субсидии на подготовку проектов межевания земельных участков и на проведение кадастровых работза счет средств областного бюджета</t>
  </si>
  <si>
    <t>Субсидии на капитальный ремонт зданий (помещений) муниципальной собственности(военкомат)</t>
  </si>
  <si>
    <t>Отклон.  к плану за декабрь</t>
  </si>
  <si>
    <t xml:space="preserve">отклон. от уточненного плана </t>
  </si>
  <si>
    <t>отклон.  2025г к 2024</t>
  </si>
  <si>
    <t>Первонач. План М.Ф. на 2025 г</t>
  </si>
  <si>
    <t>ожид. на 2025 год</t>
  </si>
  <si>
    <t xml:space="preserve">% исполнения  к годовому уточ.плану </t>
  </si>
  <si>
    <t>отклонение от  плана (ожид)</t>
  </si>
  <si>
    <t xml:space="preserve"> на поощрение муницип. управленческих команд в 2025 году</t>
  </si>
  <si>
    <t>на поощрение региональной управленческой команды верхнего уровня в 2025 году</t>
  </si>
  <si>
    <t>Уточненный план 2025г на 29.12.25</t>
  </si>
  <si>
    <r>
      <t xml:space="preserve"> ИСПОЛНЕНИЕ  БЮДЖЕТА МУНИЦИПАЛЬНОГО ОКРУГА ВОРОТЫНСКИЙ НА 01</t>
    </r>
    <r>
      <rPr>
        <b/>
        <u/>
        <sz val="8.5"/>
        <rFont val="MS Sans Serif"/>
        <family val="2"/>
        <charset val="204"/>
      </rPr>
      <t xml:space="preserve">.01.2026 года </t>
    </r>
  </si>
  <si>
    <t>ПЛАН СБОРА НАЛОГОВЫХ И НЕНАЛОГОВЫХ  ДОХОДОВ   НА 2026 год</t>
  </si>
  <si>
    <t>Исполнено январь</t>
  </si>
  <si>
    <t>Кассовый план янвварь</t>
  </si>
  <si>
    <t xml:space="preserve">  ИСПОЛНЕНИЕ  БЮДЖЕТА  МУНИЦИПАЛЬНОГО ОКРУГА ВОРОТЫНСКИЙ НА 18.01.2025 года </t>
  </si>
  <si>
    <t>Первонач. План М.Ф. на 2026 г</t>
  </si>
  <si>
    <t>Уточненный план 2026г</t>
  </si>
  <si>
    <t>Доходы от компенсации затрат</t>
  </si>
  <si>
    <t>Отклон.  к плану за январь</t>
  </si>
  <si>
    <t>Отклон.  к плану за 1 квартал</t>
  </si>
  <si>
    <t>Кассовый план за 1 кв.</t>
  </si>
  <si>
    <t>Инициативные платежи "Благоустройство сел.территорий</t>
  </si>
  <si>
    <t>Инициативные платежи Вам решать</t>
  </si>
  <si>
    <t>Субсидии на реализацию мероприятий по благоустройству сельских территорий за счет средств областного бюджета</t>
  </si>
  <si>
    <t>Субсидии на мероприятия по погашению задолженности,на возмещение расходов и (или) компенсацию выпадающих доходов, вызванных сверхлимитным потреблением топливно-энергетических ресурсов</t>
  </si>
  <si>
    <t>053</t>
  </si>
  <si>
    <t>Исполннено за январь 2025 г</t>
  </si>
  <si>
    <t>Субвенции на осуществление полномочий по первичному воинскому учету органами местного самоуправления поселений, муниципальных и городских округов</t>
  </si>
  <si>
    <t>208</t>
  </si>
  <si>
    <t>Субвенции на обеспечение жильем отдельных категорий граждан, установленных Федеральным законом от 12 января 1995 года №5ФЗ "О ветеранах</t>
  </si>
  <si>
    <t xml:space="preserve"> план</t>
  </si>
  <si>
    <t xml:space="preserve"> факт</t>
  </si>
  <si>
    <t>НДФЛ( за исключ 650000)</t>
  </si>
  <si>
    <t>патент</t>
  </si>
  <si>
    <t>НДФЛ( за исключ патента и свыше 650)</t>
  </si>
  <si>
    <t>общий норматив</t>
  </si>
  <si>
    <t>доп норматив</t>
  </si>
  <si>
    <t xml:space="preserve">муниц долг </t>
  </si>
  <si>
    <t xml:space="preserve"> </t>
  </si>
  <si>
    <t>НДФЛ( за исключ патента)</t>
  </si>
  <si>
    <t>НДФЛ всего</t>
  </si>
  <si>
    <t>ндфл свыше 650</t>
  </si>
  <si>
    <t xml:space="preserve"> факт 01.01.2025</t>
  </si>
  <si>
    <t xml:space="preserve"> факт 01.01.2024</t>
  </si>
  <si>
    <t xml:space="preserve"> факт 01.01.2026</t>
  </si>
  <si>
    <t xml:space="preserve"> план 2027</t>
  </si>
  <si>
    <t xml:space="preserve"> план 01.01.27</t>
  </si>
  <si>
    <t>Компенсация затрат 366</t>
  </si>
  <si>
    <t>Компенсация затрат 488</t>
  </si>
  <si>
    <t>Компенсация затрат 487</t>
  </si>
  <si>
    <r>
      <t xml:space="preserve"> ИСПОЛНЕНИЕ  БЮДЖЕТА МУНИЦИПАЛЬНОГО ОКРУГА ВОРОТЫНСКИЙ НА 01</t>
    </r>
    <r>
      <rPr>
        <b/>
        <u/>
        <sz val="8.5"/>
        <rFont val="MS Sans Serif"/>
        <family val="2"/>
        <charset val="204"/>
      </rPr>
      <t xml:space="preserve">.02.2026 года </t>
    </r>
  </si>
  <si>
    <t>Исполннено за январь, февраль 2025 г</t>
  </si>
  <si>
    <t>Отклон.  к плану за февраль</t>
  </si>
  <si>
    <t>Отклон.  к плану за январь, февраль квартал</t>
  </si>
  <si>
    <r>
      <t xml:space="preserve"> ИСПОЛНЕНИЕ  БЮДЖЕТА МУНИЦИПАЛЬНОГО ОКРУГА ВОРОТЫНСКИЙ НА </t>
    </r>
    <r>
      <rPr>
        <b/>
        <u/>
        <sz val="8.5"/>
        <rFont val="MS Sans Serif"/>
        <family val="2"/>
        <charset val="204"/>
      </rPr>
      <t xml:space="preserve">01.03.2026 года </t>
    </r>
  </si>
  <si>
    <t>Исполнено за 2026 г</t>
  </si>
  <si>
    <t>Исполннено за 1  кв 2025</t>
  </si>
  <si>
    <t>Отклон.  к плану за март</t>
  </si>
  <si>
    <r>
      <t xml:space="preserve"> ИСПОЛНЕНИЕ  БЮДЖЕТА МУНИЦИПАЛЬНОГО ОКРУГА ВОРОТЫНСКИЙ НА 20</t>
    </r>
    <r>
      <rPr>
        <b/>
        <u/>
        <sz val="8.5"/>
        <rFont val="MS Sans Serif"/>
        <family val="2"/>
        <charset val="204"/>
      </rPr>
      <t xml:space="preserve">.03.2026 года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</si>
</sst>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?"/>
    <numFmt numFmtId="166" formatCode="#,##0.00_ ;\-#,##0.00\ "/>
    <numFmt numFmtId="167" formatCode="#,##0.0_ ;\-#,##0.0\ "/>
    <numFmt numFmtId="168" formatCode="0.0"/>
    <numFmt numFmtId="169" formatCode="0_)"/>
  </numFmts>
  <fonts count="50" x14ac:knownFonts="1">
    <font>
      <sz val="10"/>
      <name val="Arial"/>
    </font>
    <font>
      <sz val="8.5"/>
      <name val="MS Sans Serif"/>
      <family val="2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MS Sans Serif"/>
      <family val="2"/>
      <charset val="204"/>
    </font>
    <font>
      <b/>
      <sz val="8"/>
      <name val="MS Sans Serif"/>
      <family val="2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8.5"/>
      <name val="MS Sans Serif"/>
      <family val="2"/>
      <charset val="204"/>
    </font>
    <font>
      <b/>
      <u/>
      <sz val="8.5"/>
      <name val="MS Sans Serif"/>
      <family val="2"/>
      <charset val="204"/>
    </font>
    <font>
      <b/>
      <u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Courier"/>
      <family val="3"/>
    </font>
    <font>
      <sz val="10"/>
      <name val="Arial CYR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8"/>
      <name val="Arial Cyr"/>
    </font>
    <font>
      <b/>
      <sz val="13.5"/>
      <name val="MS Sans Serif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i/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9" fontId="40" fillId="0" borderId="0"/>
    <xf numFmtId="0" fontId="41" fillId="0" borderId="0"/>
    <xf numFmtId="0" fontId="42" fillId="0" borderId="0"/>
    <xf numFmtId="0" fontId="29" fillId="0" borderId="0"/>
  </cellStyleXfs>
  <cellXfs count="651">
    <xf numFmtId="0" fontId="0" fillId="0" borderId="0" xfId="0"/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/>
    <xf numFmtId="49" fontId="5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/>
    <xf numFmtId="0" fontId="8" fillId="0" borderId="0" xfId="0" applyFont="1" applyBorder="1" applyAlignment="1" applyProtection="1"/>
    <xf numFmtId="49" fontId="6" fillId="0" borderId="1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left" wrapText="1"/>
    </xf>
    <xf numFmtId="49" fontId="2" fillId="0" borderId="1" xfId="0" applyNumberFormat="1" applyFont="1" applyBorder="1" applyAlignment="1" applyProtection="1">
      <alignment horizontal="center" wrapText="1"/>
    </xf>
    <xf numFmtId="165" fontId="2" fillId="0" borderId="1" xfId="0" applyNumberFormat="1" applyFont="1" applyBorder="1" applyAlignment="1" applyProtection="1">
      <alignment horizontal="left" wrapText="1"/>
    </xf>
    <xf numFmtId="165" fontId="2" fillId="3" borderId="1" xfId="0" applyNumberFormat="1" applyFont="1" applyFill="1" applyBorder="1" applyAlignment="1" applyProtection="1">
      <alignment horizontal="left" wrapText="1"/>
    </xf>
    <xf numFmtId="0" fontId="7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49" fontId="3" fillId="0" borderId="1" xfId="0" applyNumberFormat="1" applyFont="1" applyBorder="1" applyAlignment="1" applyProtection="1">
      <alignment horizontal="left" wrapText="1"/>
    </xf>
    <xf numFmtId="0" fontId="9" fillId="0" borderId="0" xfId="0" applyFont="1" applyBorder="1" applyAlignment="1" applyProtection="1"/>
    <xf numFmtId="49" fontId="6" fillId="3" borderId="1" xfId="0" applyNumberFormat="1" applyFont="1" applyFill="1" applyBorder="1" applyAlignment="1" applyProtection="1">
      <alignment horizontal="center" wrapText="1"/>
    </xf>
    <xf numFmtId="0" fontId="0" fillId="3" borderId="0" xfId="0" applyFill="1" applyAlignment="1"/>
    <xf numFmtId="49" fontId="2" fillId="3" borderId="1" xfId="0" applyNumberFormat="1" applyFont="1" applyFill="1" applyBorder="1" applyAlignment="1" applyProtection="1">
      <alignment horizontal="center" wrapText="1"/>
    </xf>
    <xf numFmtId="49" fontId="2" fillId="3" borderId="1" xfId="0" applyNumberFormat="1" applyFont="1" applyFill="1" applyBorder="1" applyAlignment="1" applyProtection="1">
      <alignment horizontal="left" wrapText="1"/>
    </xf>
    <xf numFmtId="49" fontId="3" fillId="5" borderId="1" xfId="0" applyNumberFormat="1" applyFont="1" applyFill="1" applyBorder="1" applyAlignment="1" applyProtection="1">
      <alignment horizontal="left" wrapText="1"/>
    </xf>
    <xf numFmtId="49" fontId="3" fillId="5" borderId="1" xfId="0" applyNumberFormat="1" applyFont="1" applyFill="1" applyBorder="1" applyAlignment="1" applyProtection="1">
      <alignment horizontal="center" wrapText="1"/>
    </xf>
    <xf numFmtId="49" fontId="12" fillId="5" borderId="1" xfId="0" applyNumberFormat="1" applyFont="1" applyFill="1" applyBorder="1" applyAlignment="1" applyProtection="1">
      <alignment horizontal="center" wrapText="1"/>
    </xf>
    <xf numFmtId="49" fontId="13" fillId="0" borderId="1" xfId="0" applyNumberFormat="1" applyFont="1" applyBorder="1" applyAlignment="1" applyProtection="1">
      <alignment horizontal="center" wrapText="1"/>
    </xf>
    <xf numFmtId="0" fontId="15" fillId="0" borderId="0" xfId="0" applyFont="1"/>
    <xf numFmtId="0" fontId="15" fillId="0" borderId="1" xfId="0" applyFont="1" applyBorder="1"/>
    <xf numFmtId="0" fontId="0" fillId="3" borderId="4" xfId="0" applyFill="1" applyBorder="1"/>
    <xf numFmtId="0" fontId="0" fillId="3" borderId="5" xfId="0" applyFill="1" applyBorder="1"/>
    <xf numFmtId="0" fontId="16" fillId="0" borderId="6" xfId="0" applyFont="1" applyBorder="1"/>
    <xf numFmtId="0" fontId="0" fillId="4" borderId="1" xfId="0" applyFill="1" applyBorder="1" applyAlignment="1">
      <alignment wrapText="1"/>
    </xf>
    <xf numFmtId="0" fontId="0" fillId="0" borderId="1" xfId="0" applyBorder="1"/>
    <xf numFmtId="0" fontId="17" fillId="0" borderId="6" xfId="0" applyFont="1" applyBorder="1" applyAlignment="1" applyProtection="1">
      <alignment horizontal="left" vertical="center" wrapText="1" readingOrder="1"/>
      <protection locked="0"/>
    </xf>
    <xf numFmtId="168" fontId="16" fillId="4" borderId="1" xfId="0" applyNumberFormat="1" applyFont="1" applyFill="1" applyBorder="1"/>
    <xf numFmtId="168" fontId="16" fillId="0" borderId="1" xfId="0" applyNumberFormat="1" applyFont="1" applyBorder="1"/>
    <xf numFmtId="168" fontId="18" fillId="0" borderId="1" xfId="0" applyNumberFormat="1" applyFont="1" applyBorder="1"/>
    <xf numFmtId="0" fontId="18" fillId="2" borderId="6" xfId="0" applyFont="1" applyFill="1" applyBorder="1"/>
    <xf numFmtId="0" fontId="18" fillId="2" borderId="1" xfId="0" applyFont="1" applyFill="1" applyBorder="1"/>
    <xf numFmtId="0" fontId="8" fillId="2" borderId="6" xfId="0" applyFont="1" applyFill="1" applyBorder="1"/>
    <xf numFmtId="168" fontId="19" fillId="4" borderId="7" xfId="0" applyNumberFormat="1" applyFont="1" applyFill="1" applyBorder="1"/>
    <xf numFmtId="168" fontId="19" fillId="2" borderId="7" xfId="0" applyNumberFormat="1" applyFont="1" applyFill="1" applyBorder="1"/>
    <xf numFmtId="168" fontId="8" fillId="2" borderId="7" xfId="0" applyNumberFormat="1" applyFont="1" applyFill="1" applyBorder="1"/>
    <xf numFmtId="0" fontId="18" fillId="2" borderId="6" xfId="0" applyFont="1" applyFill="1" applyBorder="1" applyAlignment="1">
      <alignment wrapText="1"/>
    </xf>
    <xf numFmtId="168" fontId="16" fillId="0" borderId="8" xfId="0" applyNumberFormat="1" applyFont="1" applyBorder="1"/>
    <xf numFmtId="0" fontId="18" fillId="3" borderId="6" xfId="0" applyFont="1" applyFill="1" applyBorder="1"/>
    <xf numFmtId="168" fontId="16" fillId="3" borderId="1" xfId="0" applyNumberFormat="1" applyFont="1" applyFill="1" applyBorder="1"/>
    <xf numFmtId="168" fontId="16" fillId="3" borderId="8" xfId="0" applyNumberFormat="1" applyFont="1" applyFill="1" applyBorder="1"/>
    <xf numFmtId="168" fontId="16" fillId="0" borderId="9" xfId="0" applyNumberFormat="1" applyFont="1" applyBorder="1"/>
    <xf numFmtId="0" fontId="8" fillId="0" borderId="6" xfId="0" applyFont="1" applyBorder="1"/>
    <xf numFmtId="168" fontId="19" fillId="0" borderId="7" xfId="0" applyNumberFormat="1" applyFont="1" applyBorder="1"/>
    <xf numFmtId="168" fontId="19" fillId="0" borderId="1" xfId="0" applyNumberFormat="1" applyFont="1" applyBorder="1"/>
    <xf numFmtId="168" fontId="8" fillId="0" borderId="7" xfId="0" applyNumberFormat="1" applyFont="1" applyBorder="1"/>
    <xf numFmtId="168" fontId="0" fillId="0" borderId="0" xfId="0" applyNumberFormat="1"/>
    <xf numFmtId="168" fontId="19" fillId="2" borderId="1" xfId="0" applyNumberFormat="1" applyFont="1" applyFill="1" applyBorder="1"/>
    <xf numFmtId="0" fontId="20" fillId="0" borderId="0" xfId="0" applyFont="1"/>
    <xf numFmtId="0" fontId="0" fillId="0" borderId="6" xfId="0" applyBorder="1"/>
    <xf numFmtId="168" fontId="16" fillId="0" borderId="6" xfId="0" applyNumberFormat="1" applyFont="1" applyBorder="1"/>
    <xf numFmtId="168" fontId="19" fillId="2" borderId="10" xfId="0" applyNumberFormat="1" applyFont="1" applyFill="1" applyBorder="1"/>
    <xf numFmtId="168" fontId="19" fillId="0" borderId="6" xfId="0" applyNumberFormat="1" applyFont="1" applyBorder="1"/>
    <xf numFmtId="0" fontId="8" fillId="0" borderId="0" xfId="0" applyFont="1" applyBorder="1"/>
    <xf numFmtId="168" fontId="19" fillId="0" borderId="0" xfId="0" applyNumberFormat="1" applyFont="1" applyBorder="1"/>
    <xf numFmtId="168" fontId="8" fillId="4" borderId="1" xfId="0" applyNumberFormat="1" applyFont="1" applyFill="1" applyBorder="1"/>
    <xf numFmtId="49" fontId="21" fillId="0" borderId="1" xfId="0" applyNumberFormat="1" applyFont="1" applyBorder="1" applyAlignment="1" applyProtection="1">
      <alignment horizontal="center" vertical="center" wrapText="1"/>
    </xf>
    <xf numFmtId="2" fontId="21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 applyAlignment="1"/>
    <xf numFmtId="164" fontId="18" fillId="0" borderId="1" xfId="0" applyNumberFormat="1" applyFont="1" applyBorder="1" applyAlignment="1" applyProtection="1">
      <alignment wrapText="1"/>
    </xf>
    <xf numFmtId="164" fontId="18" fillId="0" borderId="1" xfId="0" applyNumberFormat="1" applyFont="1" applyBorder="1" applyAlignment="1" applyProtection="1"/>
    <xf numFmtId="166" fontId="18" fillId="0" borderId="1" xfId="0" applyNumberFormat="1" applyFont="1" applyBorder="1" applyAlignment="1" applyProtection="1">
      <alignment wrapText="1"/>
    </xf>
    <xf numFmtId="166" fontId="18" fillId="0" borderId="1" xfId="0" applyNumberFormat="1" applyFont="1" applyBorder="1" applyAlignment="1" applyProtection="1"/>
    <xf numFmtId="167" fontId="18" fillId="0" borderId="1" xfId="0" applyNumberFormat="1" applyFont="1" applyBorder="1" applyAlignment="1" applyProtection="1"/>
    <xf numFmtId="164" fontId="8" fillId="0" borderId="1" xfId="0" applyNumberFormat="1" applyFont="1" applyBorder="1" applyAlignment="1" applyProtection="1">
      <alignment wrapText="1"/>
    </xf>
    <xf numFmtId="167" fontId="0" fillId="0" borderId="0" xfId="0" applyNumberFormat="1" applyAlignment="1"/>
    <xf numFmtId="0" fontId="0" fillId="4" borderId="6" xfId="0" applyFill="1" applyBorder="1" applyAlignment="1">
      <alignment wrapText="1"/>
    </xf>
    <xf numFmtId="168" fontId="16" fillId="4" borderId="6" xfId="0" applyNumberFormat="1" applyFont="1" applyFill="1" applyBorder="1"/>
    <xf numFmtId="168" fontId="19" fillId="4" borderId="10" xfId="0" applyNumberFormat="1" applyFont="1" applyFill="1" applyBorder="1"/>
    <xf numFmtId="0" fontId="0" fillId="0" borderId="11" xfId="0" applyBorder="1"/>
    <xf numFmtId="168" fontId="16" fillId="0" borderId="11" xfId="0" applyNumberFormat="1" applyFont="1" applyBorder="1"/>
    <xf numFmtId="168" fontId="19" fillId="0" borderId="11" xfId="0" applyNumberFormat="1" applyFont="1" applyBorder="1"/>
    <xf numFmtId="168" fontId="19" fillId="2" borderId="12" xfId="0" applyNumberFormat="1" applyFont="1" applyFill="1" applyBorder="1"/>
    <xf numFmtId="168" fontId="16" fillId="0" borderId="13" xfId="0" applyNumberFormat="1" applyFont="1" applyBorder="1"/>
    <xf numFmtId="168" fontId="16" fillId="0" borderId="14" xfId="0" applyNumberFormat="1" applyFont="1" applyBorder="1"/>
    <xf numFmtId="168" fontId="19" fillId="0" borderId="12" xfId="0" applyNumberFormat="1" applyFont="1" applyBorder="1"/>
    <xf numFmtId="0" fontId="0" fillId="0" borderId="15" xfId="0" applyBorder="1"/>
    <xf numFmtId="0" fontId="0" fillId="0" borderId="16" xfId="0" applyBorder="1"/>
    <xf numFmtId="168" fontId="16" fillId="0" borderId="18" xfId="0" applyNumberFormat="1" applyFont="1" applyBorder="1"/>
    <xf numFmtId="168" fontId="19" fillId="0" borderId="18" xfId="0" applyNumberFormat="1" applyFont="1" applyBorder="1"/>
    <xf numFmtId="168" fontId="19" fillId="0" borderId="19" xfId="0" applyNumberFormat="1" applyFont="1" applyBorder="1"/>
    <xf numFmtId="168" fontId="19" fillId="2" borderId="20" xfId="0" applyNumberFormat="1" applyFont="1" applyFill="1" applyBorder="1"/>
    <xf numFmtId="168" fontId="16" fillId="0" borderId="21" xfId="0" applyNumberFormat="1" applyFont="1" applyBorder="1"/>
    <xf numFmtId="168" fontId="16" fillId="3" borderId="18" xfId="0" applyNumberFormat="1" applyFont="1" applyFill="1" applyBorder="1"/>
    <xf numFmtId="168" fontId="16" fillId="0" borderId="22" xfId="0" applyNumberFormat="1" applyFont="1" applyBorder="1"/>
    <xf numFmtId="168" fontId="19" fillId="0" borderId="20" xfId="0" applyNumberFormat="1" applyFont="1" applyBorder="1"/>
    <xf numFmtId="0" fontId="0" fillId="3" borderId="0" xfId="0" applyFill="1"/>
    <xf numFmtId="168" fontId="18" fillId="0" borderId="1" xfId="0" applyNumberFormat="1" applyFont="1" applyBorder="1" applyAlignment="1">
      <alignment horizontal="right"/>
    </xf>
    <xf numFmtId="168" fontId="18" fillId="3" borderId="1" xfId="0" applyNumberFormat="1" applyFont="1" applyFill="1" applyBorder="1"/>
    <xf numFmtId="168" fontId="18" fillId="3" borderId="1" xfId="0" applyNumberFormat="1" applyFont="1" applyFill="1" applyBorder="1" applyAlignment="1">
      <alignment horizontal="right"/>
    </xf>
    <xf numFmtId="49" fontId="18" fillId="3" borderId="1" xfId="0" applyNumberFormat="1" applyFont="1" applyFill="1" applyBorder="1" applyAlignment="1" applyProtection="1">
      <alignment horizontal="left" vertical="center" wrapText="1"/>
    </xf>
    <xf numFmtId="164" fontId="18" fillId="3" borderId="1" xfId="0" applyNumberFormat="1" applyFont="1" applyFill="1" applyBorder="1" applyAlignment="1" applyProtection="1">
      <alignment wrapText="1"/>
    </xf>
    <xf numFmtId="167" fontId="18" fillId="3" borderId="1" xfId="0" applyNumberFormat="1" applyFont="1" applyFill="1" applyBorder="1" applyAlignment="1" applyProtection="1">
      <alignment wrapText="1"/>
    </xf>
    <xf numFmtId="167" fontId="0" fillId="0" borderId="0" xfId="0" applyNumberFormat="1"/>
    <xf numFmtId="0" fontId="18" fillId="3" borderId="1" xfId="0" applyFont="1" applyFill="1" applyBorder="1" applyAlignment="1"/>
    <xf numFmtId="167" fontId="18" fillId="3" borderId="1" xfId="0" applyNumberFormat="1" applyFont="1" applyFill="1" applyBorder="1" applyAlignment="1"/>
    <xf numFmtId="0" fontId="0" fillId="3" borderId="0" xfId="0" applyFont="1" applyFill="1"/>
    <xf numFmtId="167" fontId="0" fillId="3" borderId="0" xfId="0" applyNumberFormat="1" applyFill="1"/>
    <xf numFmtId="168" fontId="8" fillId="3" borderId="1" xfId="0" applyNumberFormat="1" applyFont="1" applyFill="1" applyBorder="1"/>
    <xf numFmtId="167" fontId="8" fillId="5" borderId="1" xfId="0" applyNumberFormat="1" applyFont="1" applyFill="1" applyBorder="1" applyAlignment="1" applyProtection="1"/>
    <xf numFmtId="0" fontId="14" fillId="0" borderId="0" xfId="0" applyFont="1" applyAlignment="1">
      <alignment horizontal="center"/>
    </xf>
    <xf numFmtId="0" fontId="29" fillId="0" borderId="1" xfId="0" applyFont="1" applyBorder="1"/>
    <xf numFmtId="0" fontId="14" fillId="0" borderId="1" xfId="0" applyFont="1" applyBorder="1"/>
    <xf numFmtId="0" fontId="14" fillId="3" borderId="1" xfId="0" applyFont="1" applyFill="1" applyBorder="1"/>
    <xf numFmtId="0" fontId="14" fillId="0" borderId="1" xfId="0" applyFont="1" applyFill="1" applyBorder="1"/>
    <xf numFmtId="49" fontId="29" fillId="0" borderId="1" xfId="0" applyNumberFormat="1" applyFont="1" applyBorder="1"/>
    <xf numFmtId="168" fontId="0" fillId="0" borderId="1" xfId="0" applyNumberFormat="1" applyBorder="1"/>
    <xf numFmtId="0" fontId="0" fillId="6" borderId="1" xfId="0" applyFill="1" applyBorder="1"/>
    <xf numFmtId="0" fontId="29" fillId="0" borderId="1" xfId="0" applyFont="1" applyBorder="1" applyAlignment="1">
      <alignment wrapText="1"/>
    </xf>
    <xf numFmtId="168" fontId="0" fillId="6" borderId="1" xfId="0" applyNumberFormat="1" applyFill="1" applyBorder="1"/>
    <xf numFmtId="49" fontId="29" fillId="0" borderId="1" xfId="0" applyNumberFormat="1" applyFont="1" applyBorder="1" applyAlignment="1">
      <alignment wrapText="1"/>
    </xf>
    <xf numFmtId="0" fontId="25" fillId="2" borderId="6" xfId="0" applyFont="1" applyFill="1" applyBorder="1"/>
    <xf numFmtId="164" fontId="18" fillId="3" borderId="1" xfId="0" applyNumberFormat="1" applyFont="1" applyFill="1" applyBorder="1" applyAlignment="1" applyProtection="1"/>
    <xf numFmtId="0" fontId="14" fillId="0" borderId="17" xfId="0" applyFont="1" applyBorder="1"/>
    <xf numFmtId="168" fontId="19" fillId="4" borderId="6" xfId="0" applyNumberFormat="1" applyFont="1" applyFill="1" applyBorder="1"/>
    <xf numFmtId="168" fontId="19" fillId="2" borderId="24" xfId="0" applyNumberFormat="1" applyFont="1" applyFill="1" applyBorder="1"/>
    <xf numFmtId="0" fontId="29" fillId="0" borderId="17" xfId="0" applyFont="1" applyBorder="1"/>
    <xf numFmtId="168" fontId="19" fillId="4" borderId="26" xfId="0" applyNumberFormat="1" applyFont="1" applyFill="1" applyBorder="1"/>
    <xf numFmtId="168" fontId="19" fillId="0" borderId="27" xfId="0" applyNumberFormat="1" applyFont="1" applyBorder="1"/>
    <xf numFmtId="168" fontId="19" fillId="0" borderId="28" xfId="0" applyNumberFormat="1" applyFont="1" applyBorder="1"/>
    <xf numFmtId="168" fontId="19" fillId="0" borderId="29" xfId="0" applyNumberFormat="1" applyFont="1" applyBorder="1"/>
    <xf numFmtId="168" fontId="8" fillId="0" borderId="28" xfId="0" applyNumberFormat="1" applyFont="1" applyBorder="1"/>
    <xf numFmtId="168" fontId="19" fillId="0" borderId="30" xfId="0" applyNumberFormat="1" applyFont="1" applyBorder="1"/>
    <xf numFmtId="168" fontId="19" fillId="0" borderId="25" xfId="0" applyNumberFormat="1" applyFont="1" applyBorder="1"/>
    <xf numFmtId="168" fontId="16" fillId="0" borderId="0" xfId="0" applyNumberFormat="1" applyFont="1" applyFill="1" applyBorder="1"/>
    <xf numFmtId="164" fontId="8" fillId="3" borderId="1" xfId="0" applyNumberFormat="1" applyFont="1" applyFill="1" applyBorder="1" applyAlignment="1" applyProtection="1">
      <alignment wrapText="1"/>
    </xf>
    <xf numFmtId="49" fontId="25" fillId="0" borderId="1" xfId="0" applyNumberFormat="1" applyFont="1" applyBorder="1" applyAlignment="1" applyProtection="1">
      <alignment horizontal="left" wrapText="1"/>
    </xf>
    <xf numFmtId="2" fontId="21" fillId="3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/>
    <xf numFmtId="0" fontId="0" fillId="0" borderId="0" xfId="0" applyAlignment="1"/>
    <xf numFmtId="49" fontId="2" fillId="0" borderId="6" xfId="0" applyNumberFormat="1" applyFont="1" applyBorder="1" applyAlignment="1" applyProtection="1">
      <alignment horizontal="center" vertical="center" wrapText="1"/>
    </xf>
    <xf numFmtId="0" fontId="31" fillId="0" borderId="0" xfId="0" applyFont="1"/>
    <xf numFmtId="0" fontId="32" fillId="0" borderId="0" xfId="0" applyFont="1"/>
    <xf numFmtId="0" fontId="16" fillId="0" borderId="1" xfId="0" applyFont="1" applyBorder="1"/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8" fillId="3" borderId="1" xfId="0" applyFont="1" applyFill="1" applyBorder="1"/>
    <xf numFmtId="0" fontId="0" fillId="3" borderId="25" xfId="0" applyFill="1" applyBorder="1"/>
    <xf numFmtId="0" fontId="0" fillId="3" borderId="25" xfId="0" applyFont="1" applyFill="1" applyBorder="1"/>
    <xf numFmtId="0" fontId="18" fillId="0" borderId="1" xfId="0" applyFont="1" applyBorder="1" applyAlignment="1">
      <alignment horizontal="left"/>
    </xf>
    <xf numFmtId="0" fontId="0" fillId="0" borderId="25" xfId="0" applyFont="1" applyFill="1" applyBorder="1"/>
    <xf numFmtId="0" fontId="0" fillId="0" borderId="0" xfId="0" applyFont="1"/>
    <xf numFmtId="0" fontId="18" fillId="0" borderId="1" xfId="0" applyFont="1" applyBorder="1"/>
    <xf numFmtId="0" fontId="0" fillId="0" borderId="25" xfId="0" applyFill="1" applyBorder="1"/>
    <xf numFmtId="0" fontId="18" fillId="3" borderId="1" xfId="0" applyFont="1" applyFill="1" applyBorder="1"/>
    <xf numFmtId="168" fontId="19" fillId="8" borderId="8" xfId="0" applyNumberFormat="1" applyFont="1" applyFill="1" applyBorder="1" applyAlignment="1">
      <alignment horizontal="right"/>
    </xf>
    <xf numFmtId="168" fontId="0" fillId="3" borderId="26" xfId="0" applyNumberFormat="1" applyFill="1" applyBorder="1"/>
    <xf numFmtId="0" fontId="0" fillId="0" borderId="0" xfId="0" applyBorder="1"/>
    <xf numFmtId="0" fontId="18" fillId="0" borderId="1" xfId="0" applyFont="1" applyFill="1" applyBorder="1"/>
    <xf numFmtId="0" fontId="0" fillId="3" borderId="26" xfId="0" applyFill="1" applyBorder="1"/>
    <xf numFmtId="49" fontId="18" fillId="0" borderId="1" xfId="0" applyNumberFormat="1" applyFont="1" applyBorder="1" applyAlignment="1">
      <alignment horizontal="left"/>
    </xf>
    <xf numFmtId="0" fontId="0" fillId="3" borderId="0" xfId="0" applyFill="1" applyBorder="1"/>
    <xf numFmtId="168" fontId="20" fillId="3" borderId="0" xfId="0" applyNumberFormat="1" applyFont="1" applyFill="1"/>
    <xf numFmtId="168" fontId="8" fillId="3" borderId="1" xfId="0" applyNumberFormat="1" applyFont="1" applyFill="1" applyBorder="1" applyAlignment="1">
      <alignment horizontal="right"/>
    </xf>
    <xf numFmtId="168" fontId="18" fillId="3" borderId="6" xfId="0" applyNumberFormat="1" applyFont="1" applyFill="1" applyBorder="1" applyAlignment="1">
      <alignment horizontal="right"/>
    </xf>
    <xf numFmtId="49" fontId="3" fillId="5" borderId="6" xfId="0" applyNumberFormat="1" applyFont="1" applyFill="1" applyBorder="1" applyAlignment="1" applyProtection="1">
      <alignment horizontal="center" vertical="center" wrapText="1"/>
    </xf>
    <xf numFmtId="164" fontId="8" fillId="5" borderId="1" xfId="0" applyNumberFormat="1" applyFont="1" applyFill="1" applyBorder="1" applyAlignment="1" applyProtection="1">
      <alignment wrapText="1"/>
    </xf>
    <xf numFmtId="0" fontId="8" fillId="3" borderId="1" xfId="0" applyFont="1" applyFill="1" applyBorder="1" applyAlignment="1">
      <alignment vertical="center"/>
    </xf>
    <xf numFmtId="49" fontId="12" fillId="3" borderId="6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Border="1" applyAlignment="1"/>
    <xf numFmtId="168" fontId="8" fillId="5" borderId="1" xfId="0" applyNumberFormat="1" applyFont="1" applyFill="1" applyBorder="1"/>
    <xf numFmtId="164" fontId="8" fillId="5" borderId="1" xfId="0" applyNumberFormat="1" applyFont="1" applyFill="1" applyBorder="1" applyAlignment="1" applyProtection="1"/>
    <xf numFmtId="167" fontId="8" fillId="5" borderId="1" xfId="0" applyNumberFormat="1" applyFont="1" applyFill="1" applyBorder="1" applyAlignment="1" applyProtection="1">
      <alignment wrapText="1"/>
    </xf>
    <xf numFmtId="167" fontId="18" fillId="0" borderId="1" xfId="0" applyNumberFormat="1" applyFont="1" applyBorder="1" applyAlignment="1" applyProtection="1">
      <alignment wrapText="1"/>
    </xf>
    <xf numFmtId="166" fontId="18" fillId="3" borderId="1" xfId="0" applyNumberFormat="1" applyFont="1" applyFill="1" applyBorder="1" applyAlignment="1" applyProtection="1">
      <alignment wrapText="1"/>
    </xf>
    <xf numFmtId="164" fontId="18" fillId="5" borderId="1" xfId="0" applyNumberFormat="1" applyFont="1" applyFill="1" applyBorder="1" applyAlignment="1" applyProtection="1">
      <alignment wrapText="1"/>
    </xf>
    <xf numFmtId="167" fontId="8" fillId="3" borderId="1" xfId="0" applyNumberFormat="1" applyFont="1" applyFill="1" applyBorder="1" applyAlignment="1" applyProtection="1">
      <alignment wrapText="1"/>
    </xf>
    <xf numFmtId="167" fontId="8" fillId="3" borderId="1" xfId="0" applyNumberFormat="1" applyFont="1" applyFill="1" applyBorder="1" applyAlignment="1" applyProtection="1"/>
    <xf numFmtId="49" fontId="8" fillId="5" borderId="1" xfId="0" applyNumberFormat="1" applyFont="1" applyFill="1" applyBorder="1" applyAlignment="1" applyProtection="1">
      <alignment horizontal="left" wrapText="1"/>
    </xf>
    <xf numFmtId="167" fontId="18" fillId="3" borderId="1" xfId="0" applyNumberFormat="1" applyFont="1" applyFill="1" applyBorder="1" applyAlignment="1" applyProtection="1"/>
    <xf numFmtId="49" fontId="2" fillId="0" borderId="8" xfId="0" applyNumberFormat="1" applyFont="1" applyBorder="1" applyAlignment="1" applyProtection="1">
      <alignment horizontal="left" wrapText="1"/>
    </xf>
    <xf numFmtId="49" fontId="6" fillId="0" borderId="6" xfId="0" applyNumberFormat="1" applyFont="1" applyBorder="1" applyAlignment="1" applyProtection="1">
      <alignment horizontal="center" wrapText="1"/>
    </xf>
    <xf numFmtId="49" fontId="2" fillId="0" borderId="11" xfId="0" applyNumberFormat="1" applyFont="1" applyBorder="1" applyAlignment="1" applyProtection="1">
      <alignment horizontal="center" wrapText="1"/>
    </xf>
    <xf numFmtId="49" fontId="2" fillId="0" borderId="9" xfId="0" applyNumberFormat="1" applyFont="1" applyBorder="1" applyAlignment="1" applyProtection="1">
      <alignment horizontal="left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167" fontId="8" fillId="0" borderId="1" xfId="0" applyNumberFormat="1" applyFont="1" applyBorder="1" applyAlignment="1" applyProtection="1"/>
    <xf numFmtId="167" fontId="8" fillId="3" borderId="6" xfId="0" applyNumberFormat="1" applyFont="1" applyFill="1" applyBorder="1" applyAlignment="1" applyProtection="1"/>
    <xf numFmtId="0" fontId="14" fillId="0" borderId="1" xfId="0" applyFont="1" applyBorder="1" applyAlignment="1">
      <alignment wrapText="1"/>
    </xf>
    <xf numFmtId="167" fontId="18" fillId="0" borderId="1" xfId="0" applyNumberFormat="1" applyFont="1" applyBorder="1" applyAlignment="1"/>
    <xf numFmtId="167" fontId="8" fillId="5" borderId="1" xfId="0" applyNumberFormat="1" applyFont="1" applyFill="1" applyBorder="1" applyAlignment="1"/>
    <xf numFmtId="0" fontId="14" fillId="0" borderId="11" xfId="0" applyFont="1" applyBorder="1" applyAlignment="1">
      <alignment wrapText="1"/>
    </xf>
    <xf numFmtId="167" fontId="0" fillId="0" borderId="0" xfId="0" applyNumberFormat="1" applyAlignment="1">
      <alignment vertical="center"/>
    </xf>
    <xf numFmtId="2" fontId="21" fillId="3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/>
    <xf numFmtId="0" fontId="29" fillId="4" borderId="6" xfId="0" applyFont="1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9" fontId="18" fillId="0" borderId="1" xfId="0" applyNumberFormat="1" applyFont="1" applyBorder="1" applyAlignment="1" applyProtection="1">
      <alignment horizontal="left" vertical="center" wrapText="1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 wrapText="1"/>
    </xf>
    <xf numFmtId="0" fontId="34" fillId="3" borderId="1" xfId="0" applyFont="1" applyFill="1" applyBorder="1" applyAlignment="1">
      <alignment vertical="center" wrapText="1"/>
    </xf>
    <xf numFmtId="0" fontId="18" fillId="3" borderId="0" xfId="0" applyFont="1" applyFill="1" applyAlignment="1">
      <alignment wrapText="1"/>
    </xf>
    <xf numFmtId="168" fontId="19" fillId="4" borderId="0" xfId="0" applyNumberFormat="1" applyFont="1" applyFill="1" applyBorder="1"/>
    <xf numFmtId="168" fontId="8" fillId="0" borderId="0" xfId="0" applyNumberFormat="1" applyFont="1" applyBorder="1"/>
    <xf numFmtId="0" fontId="18" fillId="2" borderId="0" xfId="0" applyFont="1" applyFill="1" applyBorder="1" applyAlignment="1">
      <alignment horizontal="left"/>
    </xf>
    <xf numFmtId="168" fontId="16" fillId="4" borderId="0" xfId="0" applyNumberFormat="1" applyFont="1" applyFill="1" applyBorder="1"/>
    <xf numFmtId="168" fontId="16" fillId="0" borderId="0" xfId="0" applyNumberFormat="1" applyFont="1" applyBorder="1"/>
    <xf numFmtId="167" fontId="0" fillId="3" borderId="0" xfId="0" applyNumberFormat="1" applyFill="1" applyAlignment="1"/>
    <xf numFmtId="0" fontId="14" fillId="0" borderId="1" xfId="0" applyFont="1" applyBorder="1" applyAlignment="1">
      <alignment horizontal="center"/>
    </xf>
    <xf numFmtId="168" fontId="0" fillId="3" borderId="1" xfId="0" applyNumberFormat="1" applyFill="1" applyBorder="1"/>
    <xf numFmtId="49" fontId="29" fillId="6" borderId="1" xfId="0" applyNumberFormat="1" applyFont="1" applyFill="1" applyBorder="1"/>
    <xf numFmtId="0" fontId="29" fillId="6" borderId="1" xfId="0" applyFont="1" applyFill="1" applyBorder="1" applyAlignment="1">
      <alignment wrapText="1"/>
    </xf>
    <xf numFmtId="49" fontId="14" fillId="6" borderId="1" xfId="0" applyNumberFormat="1" applyFont="1" applyFill="1" applyBorder="1"/>
    <xf numFmtId="168" fontId="14" fillId="6" borderId="1" xfId="0" applyNumberFormat="1" applyFont="1" applyFill="1" applyBorder="1"/>
    <xf numFmtId="0" fontId="29" fillId="3" borderId="1" xfId="0" applyFont="1" applyFill="1" applyBorder="1" applyAlignment="1">
      <alignment wrapText="1"/>
    </xf>
    <xf numFmtId="49" fontId="29" fillId="6" borderId="1" xfId="0" applyNumberFormat="1" applyFont="1" applyFill="1" applyBorder="1" applyAlignment="1">
      <alignment wrapText="1"/>
    </xf>
    <xf numFmtId="166" fontId="18" fillId="0" borderId="11" xfId="0" applyNumberFormat="1" applyFont="1" applyBorder="1" applyAlignment="1" applyProtection="1">
      <alignment wrapText="1"/>
    </xf>
    <xf numFmtId="0" fontId="9" fillId="3" borderId="0" xfId="0" applyFont="1" applyFill="1" applyBorder="1" applyAlignment="1" applyProtection="1"/>
    <xf numFmtId="167" fontId="8" fillId="3" borderId="33" xfId="0" applyNumberFormat="1" applyFont="1" applyFill="1" applyBorder="1" applyAlignment="1" applyProtection="1"/>
    <xf numFmtId="164" fontId="0" fillId="3" borderId="0" xfId="0" applyNumberFormat="1" applyFill="1" applyAlignment="1"/>
    <xf numFmtId="167" fontId="19" fillId="3" borderId="1" xfId="0" applyNumberFormat="1" applyFont="1" applyFill="1" applyBorder="1" applyAlignment="1" applyProtection="1"/>
    <xf numFmtId="167" fontId="19" fillId="5" borderId="1" xfId="0" applyNumberFormat="1" applyFont="1" applyFill="1" applyBorder="1" applyAlignment="1" applyProtection="1"/>
    <xf numFmtId="168" fontId="16" fillId="3" borderId="6" xfId="0" applyNumberFormat="1" applyFont="1" applyFill="1" applyBorder="1"/>
    <xf numFmtId="168" fontId="16" fillId="3" borderId="3" xfId="0" applyNumberFormat="1" applyFont="1" applyFill="1" applyBorder="1"/>
    <xf numFmtId="168" fontId="19" fillId="3" borderId="1" xfId="0" applyNumberFormat="1" applyFont="1" applyFill="1" applyBorder="1"/>
    <xf numFmtId="168" fontId="16" fillId="3" borderId="34" xfId="0" applyNumberFormat="1" applyFont="1" applyFill="1" applyBorder="1"/>
    <xf numFmtId="1" fontId="2" fillId="3" borderId="1" xfId="0" applyNumberFormat="1" applyFont="1" applyFill="1" applyBorder="1" applyAlignment="1">
      <alignment horizontal="left" wrapText="1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2" xfId="0" applyNumberFormat="1" applyFont="1" applyBorder="1" applyAlignment="1" applyProtection="1">
      <alignment horizontal="left" wrapText="1"/>
    </xf>
    <xf numFmtId="49" fontId="2" fillId="0" borderId="31" xfId="0" applyNumberFormat="1" applyFont="1" applyBorder="1" applyAlignment="1" applyProtection="1">
      <alignment horizontal="left" wrapText="1"/>
    </xf>
    <xf numFmtId="0" fontId="33" fillId="3" borderId="8" xfId="0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0" fillId="5" borderId="3" xfId="0" applyFont="1" applyFill="1" applyBorder="1" applyAlignment="1">
      <alignment horizontal="left"/>
    </xf>
    <xf numFmtId="0" fontId="26" fillId="0" borderId="1" xfId="0" applyFont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vertical="center" wrapText="1"/>
    </xf>
    <xf numFmtId="167" fontId="8" fillId="3" borderId="11" xfId="0" applyNumberFormat="1" applyFont="1" applyFill="1" applyBorder="1" applyAlignment="1" applyProtection="1"/>
    <xf numFmtId="167" fontId="8" fillId="7" borderId="1" xfId="0" applyNumberFormat="1" applyFont="1" applyFill="1" applyBorder="1" applyAlignment="1" applyProtection="1"/>
    <xf numFmtId="165" fontId="2" fillId="0" borderId="1" xfId="0" applyNumberFormat="1" applyFont="1" applyBorder="1" applyAlignment="1" applyProtection="1">
      <alignment horizontal="left" vertical="center" wrapText="1"/>
    </xf>
    <xf numFmtId="165" fontId="2" fillId="0" borderId="8" xfId="0" applyNumberFormat="1" applyFont="1" applyBorder="1" applyAlignment="1" applyProtection="1">
      <alignment horizontal="left" wrapText="1"/>
    </xf>
    <xf numFmtId="49" fontId="2" fillId="0" borderId="23" xfId="0" applyNumberFormat="1" applyFont="1" applyBorder="1" applyAlignment="1" applyProtection="1">
      <alignment horizontal="left" wrapText="1"/>
    </xf>
    <xf numFmtId="164" fontId="18" fillId="0" borderId="6" xfId="0" applyNumberFormat="1" applyFont="1" applyBorder="1" applyAlignment="1" applyProtection="1"/>
    <xf numFmtId="165" fontId="18" fillId="0" borderId="2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left" wrapText="1"/>
    </xf>
    <xf numFmtId="167" fontId="18" fillId="5" borderId="1" xfId="0" applyNumberFormat="1" applyFont="1" applyFill="1" applyBorder="1" applyAlignment="1" applyProtection="1"/>
    <xf numFmtId="0" fontId="9" fillId="0" borderId="0" xfId="0" applyFont="1" applyBorder="1" applyAlignment="1" applyProtection="1">
      <alignment horizontal="right"/>
    </xf>
    <xf numFmtId="49" fontId="2" fillId="5" borderId="1" xfId="0" applyNumberFormat="1" applyFont="1" applyFill="1" applyBorder="1" applyAlignment="1" applyProtection="1">
      <alignment horizontal="left" wrapText="1"/>
    </xf>
    <xf numFmtId="0" fontId="33" fillId="5" borderId="1" xfId="0" applyFont="1" applyFill="1" applyBorder="1" applyAlignment="1">
      <alignment horizontal="left" wrapText="1"/>
    </xf>
    <xf numFmtId="49" fontId="2" fillId="0" borderId="8" xfId="0" applyNumberFormat="1" applyFont="1" applyBorder="1" applyAlignment="1" applyProtection="1">
      <alignment horizontal="center" wrapText="1"/>
    </xf>
    <xf numFmtId="166" fontId="18" fillId="0" borderId="8" xfId="0" applyNumberFormat="1" applyFont="1" applyBorder="1" applyAlignment="1" applyProtection="1">
      <alignment wrapText="1"/>
    </xf>
    <xf numFmtId="164" fontId="18" fillId="0" borderId="8" xfId="0" applyNumberFormat="1" applyFont="1" applyBorder="1" applyAlignment="1" applyProtection="1">
      <alignment wrapText="1"/>
    </xf>
    <xf numFmtId="164" fontId="18" fillId="3" borderId="8" xfId="0" applyNumberFormat="1" applyFont="1" applyFill="1" applyBorder="1" applyAlignment="1" applyProtection="1">
      <alignment wrapText="1"/>
    </xf>
    <xf numFmtId="164" fontId="18" fillId="0" borderId="8" xfId="0" applyNumberFormat="1" applyFont="1" applyBorder="1" applyAlignment="1" applyProtection="1"/>
    <xf numFmtId="167" fontId="8" fillId="3" borderId="8" xfId="0" applyNumberFormat="1" applyFont="1" applyFill="1" applyBorder="1" applyAlignment="1" applyProtection="1"/>
    <xf numFmtId="167" fontId="18" fillId="3" borderId="8" xfId="0" applyNumberFormat="1" applyFont="1" applyFill="1" applyBorder="1" applyAlignment="1" applyProtection="1"/>
    <xf numFmtId="167" fontId="8" fillId="7" borderId="8" xfId="0" applyNumberFormat="1" applyFont="1" applyFill="1" applyBorder="1" applyAlignment="1" applyProtection="1"/>
    <xf numFmtId="49" fontId="2" fillId="3" borderId="23" xfId="0" applyNumberFormat="1" applyFont="1" applyFill="1" applyBorder="1" applyAlignment="1" applyProtection="1">
      <alignment horizontal="center" wrapText="1"/>
    </xf>
    <xf numFmtId="166" fontId="18" fillId="3" borderId="23" xfId="0" applyNumberFormat="1" applyFont="1" applyFill="1" applyBorder="1" applyAlignment="1" applyProtection="1">
      <alignment wrapText="1"/>
    </xf>
    <xf numFmtId="164" fontId="18" fillId="3" borderId="23" xfId="0" applyNumberFormat="1" applyFont="1" applyFill="1" applyBorder="1" applyAlignment="1" applyProtection="1">
      <alignment wrapText="1"/>
    </xf>
    <xf numFmtId="164" fontId="18" fillId="3" borderId="23" xfId="0" applyNumberFormat="1" applyFont="1" applyFill="1" applyBorder="1" applyAlignment="1" applyProtection="1"/>
    <xf numFmtId="164" fontId="18" fillId="0" borderId="23" xfId="0" applyNumberFormat="1" applyFont="1" applyBorder="1" applyAlignment="1" applyProtection="1"/>
    <xf numFmtId="167" fontId="8" fillId="3" borderId="23" xfId="0" applyNumberFormat="1" applyFont="1" applyFill="1" applyBorder="1" applyAlignment="1" applyProtection="1"/>
    <xf numFmtId="167" fontId="18" fillId="3" borderId="23" xfId="0" applyNumberFormat="1" applyFont="1" applyFill="1" applyBorder="1" applyAlignment="1" applyProtection="1"/>
    <xf numFmtId="49" fontId="2" fillId="3" borderId="8" xfId="0" applyNumberFormat="1" applyFont="1" applyFill="1" applyBorder="1" applyAlignment="1" applyProtection="1">
      <alignment horizontal="left" wrapText="1"/>
    </xf>
    <xf numFmtId="167" fontId="18" fillId="0" borderId="8" xfId="0" applyNumberFormat="1" applyFont="1" applyBorder="1" applyAlignment="1" applyProtection="1"/>
    <xf numFmtId="164" fontId="18" fillId="0" borderId="23" xfId="0" applyNumberFormat="1" applyFont="1" applyBorder="1" applyAlignment="1" applyProtection="1">
      <alignment wrapText="1"/>
    </xf>
    <xf numFmtId="164" fontId="8" fillId="7" borderId="1" xfId="0" applyNumberFormat="1" applyFont="1" applyFill="1" applyBorder="1" applyAlignment="1" applyProtection="1">
      <alignment wrapText="1"/>
    </xf>
    <xf numFmtId="167" fontId="8" fillId="7" borderId="1" xfId="0" applyNumberFormat="1" applyFont="1" applyFill="1" applyBorder="1" applyAlignment="1"/>
    <xf numFmtId="167" fontId="18" fillId="5" borderId="1" xfId="0" applyNumberFormat="1" applyFont="1" applyFill="1" applyBorder="1" applyAlignment="1"/>
    <xf numFmtId="0" fontId="0" fillId="3" borderId="1" xfId="0" applyFill="1" applyBorder="1" applyAlignment="1"/>
    <xf numFmtId="167" fontId="8" fillId="3" borderId="1" xfId="0" applyNumberFormat="1" applyFont="1" applyFill="1" applyBorder="1" applyAlignment="1"/>
    <xf numFmtId="0" fontId="29" fillId="3" borderId="1" xfId="0" applyFont="1" applyFill="1" applyBorder="1" applyAlignment="1"/>
    <xf numFmtId="0" fontId="35" fillId="0" borderId="1" xfId="0" applyFont="1" applyBorder="1"/>
    <xf numFmtId="168" fontId="35" fillId="0" borderId="1" xfId="0" applyNumberFormat="1" applyFont="1" applyBorder="1"/>
    <xf numFmtId="49" fontId="35" fillId="0" borderId="1" xfId="0" applyNumberFormat="1" applyFont="1" applyBorder="1"/>
    <xf numFmtId="0" fontId="35" fillId="0" borderId="1" xfId="0" applyFont="1" applyBorder="1" applyAlignment="1">
      <alignment wrapText="1"/>
    </xf>
    <xf numFmtId="168" fontId="36" fillId="0" borderId="1" xfId="0" applyNumberFormat="1" applyFont="1" applyBorder="1"/>
    <xf numFmtId="2" fontId="16" fillId="0" borderId="1" xfId="0" applyNumberFormat="1" applyFont="1" applyBorder="1"/>
    <xf numFmtId="1" fontId="19" fillId="0" borderId="1" xfId="0" applyNumberFormat="1" applyFont="1" applyBorder="1" applyAlignment="1">
      <alignment horizontal="left"/>
    </xf>
    <xf numFmtId="0" fontId="36" fillId="0" borderId="1" xfId="0" applyFont="1" applyBorder="1"/>
    <xf numFmtId="49" fontId="36" fillId="0" borderId="1" xfId="0" applyNumberFormat="1" applyFont="1" applyBorder="1"/>
    <xf numFmtId="0" fontId="36" fillId="0" borderId="1" xfId="0" applyFont="1" applyBorder="1" applyAlignment="1">
      <alignment wrapText="1"/>
    </xf>
    <xf numFmtId="2" fontId="36" fillId="0" borderId="1" xfId="0" applyNumberFormat="1" applyFont="1" applyBorder="1"/>
    <xf numFmtId="49" fontId="2" fillId="0" borderId="23" xfId="0" applyNumberFormat="1" applyFont="1" applyBorder="1" applyAlignment="1" applyProtection="1">
      <alignment horizontal="center" wrapText="1"/>
    </xf>
    <xf numFmtId="166" fontId="18" fillId="0" borderId="23" xfId="0" applyNumberFormat="1" applyFont="1" applyBorder="1" applyAlignment="1" applyProtection="1">
      <alignment wrapText="1"/>
    </xf>
    <xf numFmtId="167" fontId="8" fillId="7" borderId="23" xfId="0" applyNumberFormat="1" applyFont="1" applyFill="1" applyBorder="1" applyAlignment="1" applyProtection="1"/>
    <xf numFmtId="167" fontId="18" fillId="3" borderId="9" xfId="0" applyNumberFormat="1" applyFont="1" applyFill="1" applyBorder="1" applyAlignment="1" applyProtection="1"/>
    <xf numFmtId="0" fontId="8" fillId="7" borderId="1" xfId="0" applyFont="1" applyFill="1" applyBorder="1" applyAlignment="1">
      <alignment vertical="center"/>
    </xf>
    <xf numFmtId="49" fontId="12" fillId="7" borderId="6" xfId="0" applyNumberFormat="1" applyFont="1" applyFill="1" applyBorder="1" applyAlignment="1" applyProtection="1">
      <alignment horizontal="center" vertical="center" wrapText="1"/>
    </xf>
    <xf numFmtId="168" fontId="8" fillId="7" borderId="1" xfId="0" applyNumberFormat="1" applyFont="1" applyFill="1" applyBorder="1"/>
    <xf numFmtId="167" fontId="19" fillId="7" borderId="1" xfId="0" applyNumberFormat="1" applyFont="1" applyFill="1" applyBorder="1" applyAlignment="1" applyProtection="1"/>
    <xf numFmtId="0" fontId="2" fillId="0" borderId="1" xfId="0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 applyProtection="1">
      <alignment horizontal="center" wrapText="1"/>
    </xf>
    <xf numFmtId="165" fontId="2" fillId="3" borderId="8" xfId="0" applyNumberFormat="1" applyFont="1" applyFill="1" applyBorder="1" applyAlignment="1" applyProtection="1">
      <alignment horizontal="left" wrapText="1"/>
    </xf>
    <xf numFmtId="165" fontId="2" fillId="0" borderId="23" xfId="0" applyNumberFormat="1" applyFont="1" applyBorder="1" applyAlignment="1" applyProtection="1">
      <alignment horizontal="left" wrapText="1"/>
    </xf>
    <xf numFmtId="49" fontId="2" fillId="0" borderId="25" xfId="0" applyNumberFormat="1" applyFont="1" applyBorder="1" applyAlignment="1" applyProtection="1">
      <alignment horizontal="left" wrapText="1"/>
    </xf>
    <xf numFmtId="0" fontId="37" fillId="3" borderId="0" xfId="0" applyFont="1" applyFill="1"/>
    <xf numFmtId="167" fontId="2" fillId="0" borderId="1" xfId="0" applyNumberFormat="1" applyFont="1" applyBorder="1" applyAlignment="1"/>
    <xf numFmtId="167" fontId="12" fillId="7" borderId="1" xfId="0" applyNumberFormat="1" applyFont="1" applyFill="1" applyBorder="1" applyAlignment="1"/>
    <xf numFmtId="167" fontId="12" fillId="5" borderId="1" xfId="0" applyNumberFormat="1" applyFont="1" applyFill="1" applyBorder="1" applyAlignment="1"/>
    <xf numFmtId="167" fontId="18" fillId="0" borderId="8" xfId="0" applyNumberFormat="1" applyFont="1" applyBorder="1" applyAlignment="1"/>
    <xf numFmtId="167" fontId="18" fillId="0" borderId="9" xfId="0" applyNumberFormat="1" applyFont="1" applyBorder="1" applyAlignment="1"/>
    <xf numFmtId="49" fontId="21" fillId="0" borderId="1" xfId="0" applyNumberFormat="1" applyFont="1" applyBorder="1" applyAlignment="1" applyProtection="1">
      <alignment horizontal="center" wrapText="1"/>
    </xf>
    <xf numFmtId="49" fontId="21" fillId="3" borderId="1" xfId="0" applyNumberFormat="1" applyFont="1" applyFill="1" applyBorder="1" applyAlignment="1" applyProtection="1">
      <alignment horizontal="center" wrapText="1"/>
    </xf>
    <xf numFmtId="0" fontId="12" fillId="0" borderId="1" xfId="0" applyFont="1" applyBorder="1" applyAlignment="1" applyProtection="1">
      <alignment horizontal="center" wrapText="1"/>
    </xf>
    <xf numFmtId="2" fontId="21" fillId="7" borderId="1" xfId="0" applyNumberFormat="1" applyFont="1" applyFill="1" applyBorder="1" applyAlignment="1" applyProtection="1">
      <alignment horizontal="center" wrapText="1"/>
    </xf>
    <xf numFmtId="49" fontId="6" fillId="0" borderId="0" xfId="0" applyNumberFormat="1" applyFont="1" applyBorder="1" applyAlignment="1" applyProtection="1">
      <alignment horizontal="center" wrapText="1"/>
    </xf>
    <xf numFmtId="0" fontId="38" fillId="3" borderId="1" xfId="0" applyFont="1" applyFill="1" applyBorder="1" applyAlignment="1">
      <alignment horizontal="left" wrapText="1"/>
    </xf>
    <xf numFmtId="49" fontId="12" fillId="3" borderId="1" xfId="0" applyNumberFormat="1" applyFont="1" applyFill="1" applyBorder="1" applyAlignment="1" applyProtection="1">
      <alignment horizontal="center" wrapText="1"/>
    </xf>
    <xf numFmtId="164" fontId="8" fillId="3" borderId="1" xfId="0" applyNumberFormat="1" applyFont="1" applyFill="1" applyBorder="1" applyAlignment="1" applyProtection="1"/>
    <xf numFmtId="0" fontId="11" fillId="0" borderId="0" xfId="0" applyFont="1" applyAlignment="1">
      <alignment horizontal="center"/>
    </xf>
    <xf numFmtId="0" fontId="27" fillId="5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6" fillId="3" borderId="1" xfId="0" applyFont="1" applyFill="1" applyBorder="1"/>
    <xf numFmtId="0" fontId="2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49" fontId="2" fillId="3" borderId="6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vertical="center"/>
    </xf>
    <xf numFmtId="166" fontId="8" fillId="3" borderId="1" xfId="0" applyNumberFormat="1" applyFont="1" applyFill="1" applyBorder="1" applyAlignment="1" applyProtection="1"/>
    <xf numFmtId="166" fontId="8" fillId="0" borderId="1" xfId="0" applyNumberFormat="1" applyFont="1" applyBorder="1" applyAlignment="1">
      <alignment wrapText="1"/>
    </xf>
    <xf numFmtId="166" fontId="8" fillId="7" borderId="1" xfId="0" applyNumberFormat="1" applyFont="1" applyFill="1" applyBorder="1" applyAlignment="1" applyProtection="1"/>
    <xf numFmtId="166" fontId="18" fillId="3" borderId="1" xfId="2" applyNumberFormat="1" applyFont="1" applyFill="1" applyBorder="1"/>
    <xf numFmtId="166" fontId="8" fillId="3" borderId="1" xfId="1" applyNumberFormat="1" applyFont="1" applyFill="1" applyBorder="1"/>
    <xf numFmtId="166" fontId="18" fillId="3" borderId="1" xfId="1" applyNumberFormat="1" applyFont="1" applyFill="1" applyBorder="1"/>
    <xf numFmtId="166" fontId="18" fillId="3" borderId="1" xfId="0" applyNumberFormat="1" applyFont="1" applyFill="1" applyBorder="1" applyAlignment="1" applyProtection="1"/>
    <xf numFmtId="166" fontId="8" fillId="5" borderId="1" xfId="0" applyNumberFormat="1" applyFont="1" applyFill="1" applyBorder="1" applyAlignment="1" applyProtection="1"/>
    <xf numFmtId="2" fontId="12" fillId="7" borderId="1" xfId="0" applyNumberFormat="1" applyFont="1" applyFill="1" applyBorder="1" applyAlignment="1" applyProtection="1">
      <alignment horizontal="center" wrapText="1"/>
    </xf>
    <xf numFmtId="2" fontId="12" fillId="3" borderId="1" xfId="0" applyNumberFormat="1" applyFont="1" applyFill="1" applyBorder="1" applyAlignment="1" applyProtection="1">
      <alignment horizontal="center" wrapText="1"/>
    </xf>
    <xf numFmtId="0" fontId="12" fillId="0" borderId="1" xfId="0" applyFont="1" applyBorder="1" applyAlignment="1">
      <alignment horizontal="center" wrapText="1"/>
    </xf>
    <xf numFmtId="166" fontId="18" fillId="3" borderId="23" xfId="0" applyNumberFormat="1" applyFont="1" applyFill="1" applyBorder="1" applyAlignment="1" applyProtection="1"/>
    <xf numFmtId="166" fontId="18" fillId="3" borderId="8" xfId="0" applyNumberFormat="1" applyFont="1" applyFill="1" applyBorder="1" applyAlignment="1" applyProtection="1"/>
    <xf numFmtId="49" fontId="2" fillId="3" borderId="1" xfId="0" applyNumberFormat="1" applyFont="1" applyFill="1" applyBorder="1" applyAlignment="1" applyProtection="1">
      <alignment horizontal="left" vertical="center" wrapText="1"/>
    </xf>
    <xf numFmtId="0" fontId="33" fillId="7" borderId="1" xfId="0" applyFont="1" applyFill="1" applyBorder="1" applyAlignment="1">
      <alignment horizontal="left" wrapText="1"/>
    </xf>
    <xf numFmtId="167" fontId="8" fillId="7" borderId="1" xfId="0" applyNumberFormat="1" applyFont="1" applyFill="1" applyBorder="1" applyAlignment="1" applyProtection="1">
      <alignment wrapText="1"/>
    </xf>
    <xf numFmtId="49" fontId="2" fillId="7" borderId="1" xfId="0" applyNumberFormat="1" applyFont="1" applyFill="1" applyBorder="1" applyAlignment="1" applyProtection="1">
      <alignment horizontal="left" wrapText="1"/>
    </xf>
    <xf numFmtId="167" fontId="18" fillId="3" borderId="1" xfId="0" applyNumberFormat="1" applyFont="1" applyFill="1" applyBorder="1" applyAlignment="1">
      <alignment horizontal="right"/>
    </xf>
    <xf numFmtId="167" fontId="28" fillId="3" borderId="1" xfId="0" applyNumberFormat="1" applyFont="1" applyFill="1" applyBorder="1" applyAlignment="1">
      <alignment horizontal="right"/>
    </xf>
    <xf numFmtId="167" fontId="8" fillId="3" borderId="1" xfId="0" applyNumberFormat="1" applyFont="1" applyFill="1" applyBorder="1" applyAlignment="1">
      <alignment horizontal="right"/>
    </xf>
    <xf numFmtId="167" fontId="8" fillId="5" borderId="1" xfId="0" applyNumberFormat="1" applyFont="1" applyFill="1" applyBorder="1" applyAlignment="1">
      <alignment horizontal="right"/>
    </xf>
    <xf numFmtId="0" fontId="33" fillId="0" borderId="1" xfId="0" applyFont="1" applyBorder="1" applyAlignment="1">
      <alignment wrapText="1"/>
    </xf>
    <xf numFmtId="49" fontId="18" fillId="0" borderId="31" xfId="0" applyNumberFormat="1" applyFont="1" applyBorder="1" applyAlignment="1" applyProtection="1">
      <alignment horizontal="left" vertical="center" wrapText="1"/>
    </xf>
    <xf numFmtId="165" fontId="2" fillId="3" borderId="1" xfId="0" applyNumberFormat="1" applyFont="1" applyFill="1" applyBorder="1" applyAlignment="1" applyProtection="1">
      <alignment horizontal="left" vertical="center" wrapText="1"/>
    </xf>
    <xf numFmtId="0" fontId="3" fillId="5" borderId="3" xfId="0" applyFont="1" applyFill="1" applyBorder="1" applyAlignment="1">
      <alignment horizontal="left"/>
    </xf>
    <xf numFmtId="49" fontId="16" fillId="0" borderId="1" xfId="0" applyNumberFormat="1" applyFont="1" applyBorder="1" applyAlignment="1" applyProtection="1">
      <alignment horizontal="left" vertical="center" wrapText="1"/>
    </xf>
    <xf numFmtId="167" fontId="16" fillId="3" borderId="1" xfId="0" applyNumberFormat="1" applyFont="1" applyFill="1" applyBorder="1" applyAlignment="1" applyProtection="1"/>
    <xf numFmtId="167" fontId="8" fillId="0" borderId="1" xfId="0" applyNumberFormat="1" applyFont="1" applyBorder="1" applyAlignment="1">
      <alignment wrapText="1"/>
    </xf>
    <xf numFmtId="167" fontId="8" fillId="7" borderId="1" xfId="0" applyNumberFormat="1" applyFont="1" applyFill="1" applyBorder="1" applyAlignment="1">
      <alignment horizontal="right"/>
    </xf>
    <xf numFmtId="167" fontId="8" fillId="0" borderId="1" xfId="0" applyNumberFormat="1" applyFont="1" applyBorder="1" applyAlignment="1"/>
    <xf numFmtId="167" fontId="18" fillId="3" borderId="1" xfId="1" applyNumberFormat="1" applyFont="1" applyFill="1" applyBorder="1"/>
    <xf numFmtId="167" fontId="8" fillId="3" borderId="1" xfId="1" applyNumberFormat="1" applyFont="1" applyFill="1" applyBorder="1"/>
    <xf numFmtId="167" fontId="8" fillId="3" borderId="1" xfId="3" applyNumberFormat="1" applyFont="1" applyFill="1" applyBorder="1"/>
    <xf numFmtId="167" fontId="18" fillId="3" borderId="1" xfId="3" applyNumberFormat="1" applyFont="1" applyFill="1" applyBorder="1"/>
    <xf numFmtId="167" fontId="18" fillId="3" borderId="1" xfId="2" applyNumberFormat="1" applyFont="1" applyFill="1" applyBorder="1"/>
    <xf numFmtId="0" fontId="8" fillId="5" borderId="1" xfId="0" applyFont="1" applyFill="1" applyBorder="1" applyAlignment="1"/>
    <xf numFmtId="0" fontId="21" fillId="5" borderId="1" xfId="0" applyFont="1" applyFill="1" applyBorder="1" applyAlignment="1"/>
    <xf numFmtId="167" fontId="18" fillId="0" borderId="1" xfId="0" applyNumberFormat="1" applyFont="1" applyBorder="1" applyAlignment="1">
      <alignment wrapText="1"/>
    </xf>
    <xf numFmtId="166" fontId="8" fillId="3" borderId="1" xfId="0" applyNumberFormat="1" applyFont="1" applyFill="1" applyBorder="1" applyAlignment="1">
      <alignment wrapText="1"/>
    </xf>
    <xf numFmtId="167" fontId="8" fillId="3" borderId="1" xfId="0" applyNumberFormat="1" applyFont="1" applyFill="1" applyBorder="1" applyAlignment="1">
      <alignment wrapText="1"/>
    </xf>
    <xf numFmtId="166" fontId="18" fillId="3" borderId="1" xfId="0" applyNumberFormat="1" applyFont="1" applyFill="1" applyBorder="1"/>
    <xf numFmtId="167" fontId="18" fillId="3" borderId="1" xfId="0" applyNumberFormat="1" applyFont="1" applyFill="1" applyBorder="1"/>
    <xf numFmtId="0" fontId="0" fillId="3" borderId="0" xfId="0" applyFill="1" applyAlignment="1">
      <alignment horizontal="center"/>
    </xf>
    <xf numFmtId="167" fontId="2" fillId="0" borderId="6" xfId="0" applyNumberFormat="1" applyFont="1" applyBorder="1" applyAlignment="1"/>
    <xf numFmtId="0" fontId="0" fillId="0" borderId="1" xfId="0" applyBorder="1" applyAlignment="1">
      <alignment vertical="center"/>
    </xf>
    <xf numFmtId="167" fontId="43" fillId="9" borderId="1" xfId="0" applyNumberFormat="1" applyFont="1" applyFill="1" applyBorder="1"/>
    <xf numFmtId="0" fontId="44" fillId="0" borderId="1" xfId="0" applyFont="1" applyBorder="1"/>
    <xf numFmtId="0" fontId="45" fillId="0" borderId="0" xfId="0" applyFont="1" applyBorder="1" applyAlignment="1" applyProtection="1"/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9" borderId="1" xfId="0" applyNumberFormat="1" applyFont="1" applyFill="1" applyBorder="1" applyAlignment="1" applyProtection="1">
      <alignment horizontal="center" vertical="center" wrapText="1"/>
    </xf>
    <xf numFmtId="49" fontId="8" fillId="9" borderId="1" xfId="0" applyNumberFormat="1" applyFont="1" applyFill="1" applyBorder="1" applyAlignment="1" applyProtection="1">
      <alignment horizontal="left" vertical="center" wrapText="1"/>
    </xf>
    <xf numFmtId="4" fontId="8" fillId="9" borderId="1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left" vertical="center" wrapText="1"/>
    </xf>
    <xf numFmtId="49" fontId="18" fillId="0" borderId="1" xfId="0" applyNumberFormat="1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9" fontId="18" fillId="7" borderId="1" xfId="0" applyNumberFormat="1" applyFont="1" applyFill="1" applyBorder="1" applyAlignment="1" applyProtection="1">
      <alignment horizontal="center" vertical="center" wrapText="1"/>
    </xf>
    <xf numFmtId="165" fontId="18" fillId="7" borderId="1" xfId="0" applyNumberFormat="1" applyFont="1" applyFill="1" applyBorder="1" applyAlignment="1" applyProtection="1">
      <alignment horizontal="left" vertical="center" wrapText="1"/>
    </xf>
    <xf numFmtId="4" fontId="18" fillId="7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/>
    <xf numFmtId="168" fontId="18" fillId="0" borderId="6" xfId="0" applyNumberFormat="1" applyFont="1" applyBorder="1"/>
    <xf numFmtId="168" fontId="18" fillId="0" borderId="3" xfId="0" applyNumberFormat="1" applyFont="1" applyBorder="1"/>
    <xf numFmtId="168" fontId="18" fillId="0" borderId="34" xfId="0" applyNumberFormat="1" applyFont="1" applyBorder="1"/>
    <xf numFmtId="168" fontId="18" fillId="3" borderId="6" xfId="0" applyNumberFormat="1" applyFont="1" applyFill="1" applyBorder="1"/>
    <xf numFmtId="167" fontId="18" fillId="3" borderId="3" xfId="0" applyNumberFormat="1" applyFont="1" applyFill="1" applyBorder="1" applyAlignment="1" applyProtection="1">
      <alignment wrapText="1"/>
    </xf>
    <xf numFmtId="166" fontId="18" fillId="0" borderId="33" xfId="0" applyNumberFormat="1" applyFont="1" applyBorder="1" applyAlignment="1" applyProtection="1">
      <alignment wrapText="1"/>
    </xf>
    <xf numFmtId="0" fontId="16" fillId="0" borderId="1" xfId="0" applyFont="1" applyBorder="1" applyAlignment="1">
      <alignment wrapText="1"/>
    </xf>
    <xf numFmtId="168" fontId="19" fillId="6" borderId="1" xfId="0" applyNumberFormat="1" applyFont="1" applyFill="1" applyBorder="1" applyAlignment="1">
      <alignment horizontal="right"/>
    </xf>
    <xf numFmtId="168" fontId="19" fillId="3" borderId="1" xfId="0" applyNumberFormat="1" applyFont="1" applyFill="1" applyBorder="1" applyAlignment="1">
      <alignment horizontal="right"/>
    </xf>
    <xf numFmtId="0" fontId="18" fillId="3" borderId="1" xfId="0" applyFont="1" applyFill="1" applyBorder="1" applyAlignment="1">
      <alignment horizontal="left"/>
    </xf>
    <xf numFmtId="168" fontId="16" fillId="3" borderId="1" xfId="0" applyNumberFormat="1" applyFont="1" applyFill="1" applyBorder="1" applyAlignment="1">
      <alignment horizontal="right"/>
    </xf>
    <xf numFmtId="168" fontId="16" fillId="0" borderId="1" xfId="0" applyNumberFormat="1" applyFont="1" applyBorder="1" applyAlignment="1">
      <alignment horizontal="right"/>
    </xf>
    <xf numFmtId="168" fontId="16" fillId="0" borderId="6" xfId="0" applyNumberFormat="1" applyFont="1" applyBorder="1" applyAlignment="1">
      <alignment horizontal="right"/>
    </xf>
    <xf numFmtId="0" fontId="8" fillId="6" borderId="8" xfId="0" applyFont="1" applyFill="1" applyBorder="1" applyAlignment="1">
      <alignment wrapText="1"/>
    </xf>
    <xf numFmtId="168" fontId="19" fillId="6" borderId="8" xfId="0" applyNumberFormat="1" applyFont="1" applyFill="1" applyBorder="1" applyAlignment="1">
      <alignment horizontal="right"/>
    </xf>
    <xf numFmtId="168" fontId="0" fillId="0" borderId="0" xfId="0" applyNumberFormat="1" applyFont="1" applyBorder="1"/>
    <xf numFmtId="168" fontId="16" fillId="3" borderId="6" xfId="0" applyNumberFormat="1" applyFont="1" applyFill="1" applyBorder="1" applyAlignment="1">
      <alignment horizontal="right"/>
    </xf>
    <xf numFmtId="0" fontId="18" fillId="3" borderId="8" xfId="0" applyFont="1" applyFill="1" applyBorder="1"/>
    <xf numFmtId="0" fontId="8" fillId="6" borderId="8" xfId="0" applyFont="1" applyFill="1" applyBorder="1"/>
    <xf numFmtId="0" fontId="0" fillId="3" borderId="0" xfId="0" applyFont="1" applyFill="1" applyBorder="1"/>
    <xf numFmtId="0" fontId="8" fillId="3" borderId="8" xfId="0" applyFont="1" applyFill="1" applyBorder="1"/>
    <xf numFmtId="49" fontId="18" fillId="0" borderId="8" xfId="0" applyNumberFormat="1" applyFont="1" applyBorder="1" applyAlignment="1">
      <alignment horizontal="left"/>
    </xf>
    <xf numFmtId="167" fontId="18" fillId="7" borderId="1" xfId="0" applyNumberFormat="1" applyFont="1" applyFill="1" applyBorder="1" applyAlignment="1">
      <alignment horizontal="right"/>
    </xf>
    <xf numFmtId="166" fontId="18" fillId="0" borderId="1" xfId="0" applyNumberFormat="1" applyFont="1" applyBorder="1" applyAlignment="1">
      <alignment wrapText="1"/>
    </xf>
    <xf numFmtId="167" fontId="18" fillId="7" borderId="8" xfId="0" applyNumberFormat="1" applyFont="1" applyFill="1" applyBorder="1" applyAlignment="1">
      <alignment horizontal="right"/>
    </xf>
    <xf numFmtId="167" fontId="18" fillId="3" borderId="8" xfId="0" applyNumberFormat="1" applyFont="1" applyFill="1" applyBorder="1" applyAlignment="1">
      <alignment horizontal="right"/>
    </xf>
    <xf numFmtId="167" fontId="18" fillId="0" borderId="8" xfId="0" applyNumberFormat="1" applyFont="1" applyBorder="1" applyAlignment="1" applyProtection="1">
      <alignment wrapText="1"/>
    </xf>
    <xf numFmtId="166" fontId="18" fillId="0" borderId="8" xfId="0" applyNumberFormat="1" applyFont="1" applyBorder="1" applyAlignment="1">
      <alignment wrapText="1"/>
    </xf>
    <xf numFmtId="167" fontId="18" fillId="0" borderId="8" xfId="0" applyNumberFormat="1" applyFont="1" applyBorder="1" applyAlignment="1">
      <alignment wrapText="1"/>
    </xf>
    <xf numFmtId="49" fontId="2" fillId="0" borderId="36" xfId="0" applyNumberFormat="1" applyFont="1" applyBorder="1" applyAlignment="1" applyProtection="1">
      <alignment horizontal="left" wrapText="1"/>
    </xf>
    <xf numFmtId="49" fontId="2" fillId="0" borderId="36" xfId="0" applyNumberFormat="1" applyFont="1" applyBorder="1" applyAlignment="1" applyProtection="1">
      <alignment horizontal="center" wrapText="1"/>
    </xf>
    <xf numFmtId="166" fontId="18" fillId="0" borderId="36" xfId="0" applyNumberFormat="1" applyFont="1" applyBorder="1" applyAlignment="1" applyProtection="1">
      <alignment wrapText="1"/>
    </xf>
    <xf numFmtId="167" fontId="18" fillId="3" borderId="36" xfId="0" applyNumberFormat="1" applyFont="1" applyFill="1" applyBorder="1" applyAlignment="1" applyProtection="1"/>
    <xf numFmtId="167" fontId="8" fillId="3" borderId="36" xfId="0" applyNumberFormat="1" applyFont="1" applyFill="1" applyBorder="1" applyAlignment="1" applyProtection="1"/>
    <xf numFmtId="166" fontId="18" fillId="3" borderId="38" xfId="0" applyNumberFormat="1" applyFont="1" applyFill="1" applyBorder="1" applyAlignment="1" applyProtection="1"/>
    <xf numFmtId="166" fontId="18" fillId="3" borderId="9" xfId="0" applyNumberFormat="1" applyFont="1" applyFill="1" applyBorder="1" applyAlignment="1" applyProtection="1"/>
    <xf numFmtId="167" fontId="8" fillId="3" borderId="9" xfId="0" applyNumberFormat="1" applyFont="1" applyFill="1" applyBorder="1" applyAlignment="1" applyProtection="1"/>
    <xf numFmtId="167" fontId="18" fillId="7" borderId="9" xfId="0" applyNumberFormat="1" applyFont="1" applyFill="1" applyBorder="1" applyAlignment="1">
      <alignment horizontal="right"/>
    </xf>
    <xf numFmtId="167" fontId="18" fillId="3" borderId="9" xfId="0" applyNumberFormat="1" applyFont="1" applyFill="1" applyBorder="1" applyAlignment="1">
      <alignment horizontal="right"/>
    </xf>
    <xf numFmtId="167" fontId="18" fillId="0" borderId="9" xfId="0" applyNumberFormat="1" applyFont="1" applyBorder="1" applyAlignment="1" applyProtection="1">
      <alignment wrapText="1"/>
    </xf>
    <xf numFmtId="166" fontId="18" fillId="0" borderId="9" xfId="0" applyNumberFormat="1" applyFont="1" applyBorder="1" applyAlignment="1">
      <alignment wrapText="1"/>
    </xf>
    <xf numFmtId="167" fontId="18" fillId="0" borderId="9" xfId="0" applyNumberFormat="1" applyFont="1" applyBorder="1" applyAlignment="1">
      <alignment wrapText="1"/>
    </xf>
    <xf numFmtId="166" fontId="18" fillId="3" borderId="37" xfId="0" applyNumberFormat="1" applyFont="1" applyFill="1" applyBorder="1" applyAlignment="1" applyProtection="1"/>
    <xf numFmtId="167" fontId="18" fillId="3" borderId="37" xfId="0" applyNumberFormat="1" applyFont="1" applyFill="1" applyBorder="1" applyAlignment="1" applyProtection="1"/>
    <xf numFmtId="167" fontId="8" fillId="3" borderId="37" xfId="0" applyNumberFormat="1" applyFont="1" applyFill="1" applyBorder="1" applyAlignment="1" applyProtection="1"/>
    <xf numFmtId="167" fontId="18" fillId="7" borderId="37" xfId="0" applyNumberFormat="1" applyFont="1" applyFill="1" applyBorder="1" applyAlignment="1">
      <alignment horizontal="right"/>
    </xf>
    <xf numFmtId="167" fontId="18" fillId="3" borderId="37" xfId="0" applyNumberFormat="1" applyFont="1" applyFill="1" applyBorder="1" applyAlignment="1">
      <alignment horizontal="right"/>
    </xf>
    <xf numFmtId="167" fontId="18" fillId="0" borderId="37" xfId="0" applyNumberFormat="1" applyFont="1" applyBorder="1" applyAlignment="1" applyProtection="1">
      <alignment wrapText="1"/>
    </xf>
    <xf numFmtId="166" fontId="18" fillId="0" borderId="37" xfId="0" applyNumberFormat="1" applyFont="1" applyBorder="1" applyAlignment="1">
      <alignment wrapText="1"/>
    </xf>
    <xf numFmtId="49" fontId="2" fillId="0" borderId="8" xfId="0" applyNumberFormat="1" applyFont="1" applyBorder="1" applyAlignment="1" applyProtection="1">
      <alignment horizontal="left" vertical="center" wrapText="1"/>
    </xf>
    <xf numFmtId="0" fontId="2" fillId="0" borderId="37" xfId="0" applyFont="1" applyBorder="1" applyAlignment="1">
      <alignment wrapText="1"/>
    </xf>
    <xf numFmtId="167" fontId="18" fillId="3" borderId="6" xfId="0" applyNumberFormat="1" applyFont="1" applyFill="1" applyBorder="1" applyAlignment="1" applyProtection="1"/>
    <xf numFmtId="167" fontId="18" fillId="3" borderId="39" xfId="0" applyNumberFormat="1" applyFont="1" applyFill="1" applyBorder="1" applyAlignment="1" applyProtection="1"/>
    <xf numFmtId="165" fontId="18" fillId="0" borderId="1" xfId="0" applyNumberFormat="1" applyFont="1" applyBorder="1" applyAlignment="1" applyProtection="1">
      <alignment horizontal="left" vertical="center" wrapText="1"/>
    </xf>
    <xf numFmtId="0" fontId="33" fillId="3" borderId="1" xfId="0" applyFont="1" applyFill="1" applyBorder="1" applyAlignment="1">
      <alignment horizontal="left" wrapText="1"/>
    </xf>
    <xf numFmtId="167" fontId="18" fillId="7" borderId="1" xfId="0" applyNumberFormat="1" applyFont="1" applyFill="1" applyBorder="1" applyAlignment="1" applyProtection="1"/>
    <xf numFmtId="167" fontId="18" fillId="7" borderId="1" xfId="0" applyNumberFormat="1" applyFont="1" applyFill="1" applyBorder="1" applyAlignment="1" applyProtection="1">
      <alignment wrapText="1"/>
    </xf>
    <xf numFmtId="166" fontId="0" fillId="0" borderId="0" xfId="0" applyNumberFormat="1"/>
    <xf numFmtId="49" fontId="13" fillId="5" borderId="1" xfId="0" applyNumberFormat="1" applyFont="1" applyFill="1" applyBorder="1" applyAlignment="1" applyProtection="1">
      <alignment horizontal="center" wrapText="1"/>
    </xf>
    <xf numFmtId="49" fontId="12" fillId="7" borderId="1" xfId="0" applyNumberFormat="1" applyFont="1" applyFill="1" applyBorder="1" applyAlignment="1" applyProtection="1">
      <alignment horizontal="center" wrapText="1"/>
    </xf>
    <xf numFmtId="166" fontId="8" fillId="7" borderId="1" xfId="0" applyNumberFormat="1" applyFont="1" applyFill="1" applyBorder="1" applyAlignment="1">
      <alignment wrapText="1"/>
    </xf>
    <xf numFmtId="167" fontId="8" fillId="7" borderId="1" xfId="0" applyNumberFormat="1" applyFont="1" applyFill="1" applyBorder="1" applyAlignment="1">
      <alignment wrapText="1"/>
    </xf>
    <xf numFmtId="166" fontId="0" fillId="6" borderId="1" xfId="0" applyNumberFormat="1" applyFill="1" applyBorder="1"/>
    <xf numFmtId="166" fontId="0" fillId="0" borderId="1" xfId="0" applyNumberFormat="1" applyBorder="1"/>
    <xf numFmtId="166" fontId="0" fillId="3" borderId="1" xfId="0" applyNumberFormat="1" applyFill="1" applyBorder="1"/>
    <xf numFmtId="166" fontId="0" fillId="3" borderId="25" xfId="0" applyNumberFormat="1" applyFill="1" applyBorder="1"/>
    <xf numFmtId="166" fontId="0" fillId="0" borderId="8" xfId="0" applyNumberFormat="1" applyBorder="1"/>
    <xf numFmtId="166" fontId="14" fillId="6" borderId="1" xfId="0" applyNumberFormat="1" applyFont="1" applyFill="1" applyBorder="1"/>
    <xf numFmtId="166" fontId="0" fillId="7" borderId="1" xfId="0" applyNumberFormat="1" applyFill="1" applyBorder="1"/>
    <xf numFmtId="167" fontId="18" fillId="3" borderId="40" xfId="0" applyNumberFormat="1" applyFont="1" applyFill="1" applyBorder="1" applyAlignment="1" applyProtection="1"/>
    <xf numFmtId="167" fontId="18" fillId="3" borderId="41" xfId="0" applyNumberFormat="1" applyFont="1" applyFill="1" applyBorder="1" applyAlignment="1" applyProtection="1"/>
    <xf numFmtId="167" fontId="18" fillId="0" borderId="41" xfId="0" applyNumberFormat="1" applyFont="1" applyBorder="1" applyAlignment="1">
      <alignment wrapText="1"/>
    </xf>
    <xf numFmtId="49" fontId="16" fillId="10" borderId="1" xfId="0" applyNumberFormat="1" applyFont="1" applyFill="1" applyBorder="1" applyAlignment="1" applyProtection="1">
      <alignment horizontal="left" vertical="center" wrapText="1"/>
    </xf>
    <xf numFmtId="0" fontId="16" fillId="10" borderId="1" xfId="0" applyFont="1" applyFill="1" applyBorder="1"/>
    <xf numFmtId="167" fontId="16" fillId="10" borderId="1" xfId="0" applyNumberFormat="1" applyFont="1" applyFill="1" applyBorder="1" applyAlignment="1" applyProtection="1"/>
    <xf numFmtId="167" fontId="19" fillId="10" borderId="1" xfId="0" applyNumberFormat="1" applyFont="1" applyFill="1" applyBorder="1" applyAlignment="1" applyProtection="1"/>
    <xf numFmtId="167" fontId="18" fillId="10" borderId="1" xfId="0" applyNumberFormat="1" applyFont="1" applyFill="1" applyBorder="1" applyAlignment="1">
      <alignment horizontal="right"/>
    </xf>
    <xf numFmtId="0" fontId="0" fillId="10" borderId="0" xfId="0" applyFill="1"/>
    <xf numFmtId="167" fontId="0" fillId="10" borderId="0" xfId="0" applyNumberFormat="1" applyFill="1"/>
    <xf numFmtId="167" fontId="43" fillId="10" borderId="1" xfId="0" applyNumberFormat="1" applyFont="1" applyFill="1" applyBorder="1"/>
    <xf numFmtId="167" fontId="16" fillId="10" borderId="11" xfId="0" applyNumberFormat="1" applyFont="1" applyFill="1" applyBorder="1" applyAlignment="1" applyProtection="1"/>
    <xf numFmtId="49" fontId="16" fillId="0" borderId="9" xfId="0" applyNumberFormat="1" applyFont="1" applyBorder="1" applyAlignment="1" applyProtection="1">
      <alignment horizontal="left" vertical="center" wrapText="1"/>
    </xf>
    <xf numFmtId="49" fontId="16" fillId="0" borderId="3" xfId="0" applyNumberFormat="1" applyFont="1" applyBorder="1" applyAlignment="1" applyProtection="1">
      <alignment horizontal="center" vertical="center" wrapText="1"/>
    </xf>
    <xf numFmtId="164" fontId="16" fillId="0" borderId="9" xfId="0" applyNumberFormat="1" applyFont="1" applyBorder="1" applyAlignment="1" applyProtection="1">
      <alignment wrapText="1"/>
    </xf>
    <xf numFmtId="164" fontId="16" fillId="3" borderId="9" xfId="0" applyNumberFormat="1" applyFont="1" applyFill="1" applyBorder="1" applyAlignment="1" applyProtection="1">
      <alignment wrapText="1"/>
    </xf>
    <xf numFmtId="166" fontId="16" fillId="0" borderId="9" xfId="0" applyNumberFormat="1" applyFont="1" applyBorder="1" applyAlignment="1" applyProtection="1">
      <alignment wrapText="1"/>
    </xf>
    <xf numFmtId="166" fontId="16" fillId="0" borderId="9" xfId="0" applyNumberFormat="1" applyFont="1" applyBorder="1" applyAlignment="1" applyProtection="1"/>
    <xf numFmtId="167" fontId="16" fillId="3" borderId="9" xfId="0" applyNumberFormat="1" applyFont="1" applyFill="1" applyBorder="1" applyAlignment="1" applyProtection="1"/>
    <xf numFmtId="168" fontId="19" fillId="0" borderId="42" xfId="0" applyNumberFormat="1" applyFont="1" applyBorder="1"/>
    <xf numFmtId="167" fontId="19" fillId="3" borderId="9" xfId="0" applyNumberFormat="1" applyFont="1" applyFill="1" applyBorder="1" applyAlignment="1" applyProtection="1"/>
    <xf numFmtId="167" fontId="19" fillId="7" borderId="9" xfId="0" applyNumberFormat="1" applyFont="1" applyFill="1" applyBorder="1" applyAlignment="1" applyProtection="1"/>
    <xf numFmtId="49" fontId="16" fillId="0" borderId="8" xfId="0" applyNumberFormat="1" applyFont="1" applyBorder="1" applyAlignment="1" applyProtection="1">
      <alignment horizontal="left" vertical="center" wrapText="1"/>
    </xf>
    <xf numFmtId="0" fontId="16" fillId="0" borderId="8" xfId="0" applyFont="1" applyBorder="1"/>
    <xf numFmtId="0" fontId="16" fillId="3" borderId="8" xfId="0" applyFont="1" applyFill="1" applyBorder="1"/>
    <xf numFmtId="167" fontId="16" fillId="3" borderId="8" xfId="0" applyNumberFormat="1" applyFont="1" applyFill="1" applyBorder="1" applyAlignment="1" applyProtection="1"/>
    <xf numFmtId="167" fontId="19" fillId="3" borderId="8" xfId="0" applyNumberFormat="1" applyFont="1" applyFill="1" applyBorder="1" applyAlignment="1" applyProtection="1"/>
    <xf numFmtId="167" fontId="19" fillId="7" borderId="8" xfId="0" applyNumberFormat="1" applyFont="1" applyFill="1" applyBorder="1" applyAlignment="1" applyProtection="1"/>
    <xf numFmtId="49" fontId="16" fillId="0" borderId="15" xfId="0" applyNumberFormat="1" applyFont="1" applyBorder="1" applyAlignment="1" applyProtection="1">
      <alignment horizontal="left" vertical="center" wrapText="1"/>
    </xf>
    <xf numFmtId="0" fontId="16" fillId="0" borderId="16" xfId="0" applyFont="1" applyBorder="1"/>
    <xf numFmtId="0" fontId="16" fillId="3" borderId="16" xfId="0" applyFont="1" applyFill="1" applyBorder="1"/>
    <xf numFmtId="167" fontId="16" fillId="3" borderId="16" xfId="0" applyNumberFormat="1" applyFont="1" applyFill="1" applyBorder="1" applyAlignment="1" applyProtection="1"/>
    <xf numFmtId="167" fontId="19" fillId="3" borderId="16" xfId="0" applyNumberFormat="1" applyFont="1" applyFill="1" applyBorder="1" applyAlignment="1" applyProtection="1"/>
    <xf numFmtId="167" fontId="18" fillId="3" borderId="16" xfId="0" applyNumberFormat="1" applyFont="1" applyFill="1" applyBorder="1" applyAlignment="1">
      <alignment horizontal="right"/>
    </xf>
    <xf numFmtId="167" fontId="19" fillId="7" borderId="17" xfId="0" applyNumberFormat="1" applyFont="1" applyFill="1" applyBorder="1" applyAlignment="1" applyProtection="1"/>
    <xf numFmtId="49" fontId="16" fillId="0" borderId="18" xfId="0" applyNumberFormat="1" applyFont="1" applyBorder="1" applyAlignment="1" applyProtection="1">
      <alignment horizontal="left" vertical="center" wrapText="1"/>
    </xf>
    <xf numFmtId="167" fontId="19" fillId="7" borderId="19" xfId="0" applyNumberFormat="1" applyFont="1" applyFill="1" applyBorder="1" applyAlignment="1" applyProtection="1"/>
    <xf numFmtId="49" fontId="16" fillId="10" borderId="43" xfId="0" applyNumberFormat="1" applyFont="1" applyFill="1" applyBorder="1" applyAlignment="1" applyProtection="1">
      <alignment horizontal="left" vertical="center" wrapText="1"/>
    </xf>
    <xf numFmtId="0" fontId="16" fillId="10" borderId="23" xfId="0" applyFont="1" applyFill="1" applyBorder="1"/>
    <xf numFmtId="167" fontId="16" fillId="10" borderId="23" xfId="0" applyNumberFormat="1" applyFont="1" applyFill="1" applyBorder="1" applyAlignment="1" applyProtection="1"/>
    <xf numFmtId="167" fontId="19" fillId="10" borderId="44" xfId="0" applyNumberFormat="1" applyFont="1" applyFill="1" applyBorder="1" applyAlignment="1" applyProtection="1"/>
    <xf numFmtId="167" fontId="12" fillId="7" borderId="1" xfId="0" applyNumberFormat="1" applyFont="1" applyFill="1" applyBorder="1" applyAlignment="1" applyProtection="1"/>
    <xf numFmtId="166" fontId="18" fillId="7" borderId="1" xfId="0" applyNumberFormat="1" applyFont="1" applyFill="1" applyBorder="1" applyAlignment="1" applyProtection="1"/>
    <xf numFmtId="0" fontId="0" fillId="0" borderId="0" xfId="0" applyAlignment="1"/>
    <xf numFmtId="0" fontId="29" fillId="0" borderId="0" xfId="4"/>
    <xf numFmtId="0" fontId="8" fillId="0" borderId="0" xfId="4" applyFont="1" applyFill="1" applyBorder="1"/>
    <xf numFmtId="0" fontId="18" fillId="0" borderId="0" xfId="4" applyFont="1" applyFill="1" applyBorder="1"/>
    <xf numFmtId="0" fontId="25" fillId="0" borderId="1" xfId="0" applyFont="1" applyFill="1" applyBorder="1" applyAlignment="1">
      <alignment horizontal="center" wrapText="1"/>
    </xf>
    <xf numFmtId="0" fontId="13" fillId="0" borderId="1" xfId="4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17" fillId="0" borderId="1" xfId="0" applyFont="1" applyFill="1" applyBorder="1" applyAlignment="1" applyProtection="1">
      <alignment horizontal="left" vertical="center" wrapText="1" readingOrder="1"/>
      <protection locked="0"/>
    </xf>
    <xf numFmtId="164" fontId="17" fillId="0" borderId="1" xfId="0" applyNumberFormat="1" applyFont="1" applyFill="1" applyBorder="1" applyAlignment="1" applyProtection="1">
      <alignment wrapText="1" readingOrder="1"/>
      <protection locked="0"/>
    </xf>
    <xf numFmtId="164" fontId="18" fillId="0" borderId="1" xfId="0" applyNumberFormat="1" applyFont="1" applyFill="1" applyBorder="1" applyAlignment="1"/>
    <xf numFmtId="164" fontId="18" fillId="0" borderId="1" xfId="0" applyNumberFormat="1" applyFont="1" applyFill="1" applyBorder="1"/>
    <xf numFmtId="168" fontId="18" fillId="0" borderId="1" xfId="0" applyNumberFormat="1" applyFont="1" applyFill="1" applyBorder="1"/>
    <xf numFmtId="0" fontId="27" fillId="0" borderId="1" xfId="0" applyFont="1" applyFill="1" applyBorder="1"/>
    <xf numFmtId="164" fontId="8" fillId="0" borderId="1" xfId="0" applyNumberFormat="1" applyFont="1" applyFill="1" applyBorder="1" applyAlignment="1">
      <alignment wrapText="1"/>
    </xf>
    <xf numFmtId="164" fontId="48" fillId="0" borderId="1" xfId="0" applyNumberFormat="1" applyFont="1" applyFill="1" applyBorder="1" applyAlignment="1" applyProtection="1">
      <alignment wrapText="1" readingOrder="1"/>
      <protection locked="0"/>
    </xf>
    <xf numFmtId="164" fontId="8" fillId="0" borderId="1" xfId="0" applyNumberFormat="1" applyFont="1" applyFill="1" applyBorder="1"/>
    <xf numFmtId="168" fontId="8" fillId="0" borderId="1" xfId="0" applyNumberFormat="1" applyFont="1" applyFill="1" applyBorder="1"/>
    <xf numFmtId="0" fontId="18" fillId="0" borderId="1" xfId="0" applyFont="1" applyFill="1" applyBorder="1" applyAlignment="1">
      <alignment wrapText="1"/>
    </xf>
    <xf numFmtId="164" fontId="17" fillId="0" borderId="1" xfId="0" applyNumberFormat="1" applyFont="1" applyFill="1" applyBorder="1" applyAlignment="1" applyProtection="1">
      <alignment horizontal="right" wrapText="1"/>
      <protection locked="0"/>
    </xf>
    <xf numFmtId="164" fontId="18" fillId="0" borderId="1" xfId="0" applyNumberFormat="1" applyFont="1" applyFill="1" applyBorder="1" applyAlignment="1">
      <alignment wrapText="1" readingOrder="1"/>
    </xf>
    <xf numFmtId="164" fontId="18" fillId="0" borderId="1" xfId="0" applyNumberFormat="1" applyFont="1" applyFill="1" applyBorder="1" applyAlignment="1">
      <alignment horizontal="right"/>
    </xf>
    <xf numFmtId="168" fontId="18" fillId="0" borderId="1" xfId="0" applyNumberFormat="1" applyFont="1" applyFill="1" applyBorder="1" applyAlignment="1">
      <alignment horizontal="right"/>
    </xf>
    <xf numFmtId="0" fontId="18" fillId="0" borderId="1" xfId="0" applyFont="1" applyFill="1" applyBorder="1" applyAlignment="1"/>
    <xf numFmtId="0" fontId="17" fillId="0" borderId="1" xfId="0" applyFont="1" applyFill="1" applyBorder="1" applyAlignment="1" applyProtection="1">
      <alignment horizontal="left" wrapText="1"/>
      <protection locked="0"/>
    </xf>
    <xf numFmtId="0" fontId="27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right"/>
    </xf>
    <xf numFmtId="164" fontId="48" fillId="0" borderId="1" xfId="0" applyNumberFormat="1" applyFont="1" applyFill="1" applyBorder="1" applyAlignment="1" applyProtection="1">
      <alignment horizontal="right" wrapText="1"/>
      <protection locked="0"/>
    </xf>
    <xf numFmtId="164" fontId="8" fillId="0" borderId="1" xfId="0" applyNumberFormat="1" applyFont="1" applyFill="1" applyBorder="1" applyAlignment="1">
      <alignment horizontal="right" wrapText="1"/>
    </xf>
    <xf numFmtId="168" fontId="8" fillId="0" borderId="1" xfId="0" applyNumberFormat="1" applyFont="1" applyFill="1" applyBorder="1" applyAlignment="1">
      <alignment horizontal="right"/>
    </xf>
    <xf numFmtId="168" fontId="0" fillId="0" borderId="0" xfId="0" applyNumberFormat="1" applyAlignment="1"/>
    <xf numFmtId="0" fontId="27" fillId="0" borderId="1" xfId="0" applyFont="1" applyFill="1" applyBorder="1" applyAlignment="1">
      <alignment wrapText="1"/>
    </xf>
    <xf numFmtId="168" fontId="0" fillId="3" borderId="0" xfId="0" applyNumberFormat="1" applyFill="1" applyAlignment="1"/>
    <xf numFmtId="0" fontId="16" fillId="0" borderId="1" xfId="0" applyFont="1" applyFill="1" applyBorder="1" applyAlignment="1">
      <alignment wrapText="1"/>
    </xf>
    <xf numFmtId="49" fontId="28" fillId="0" borderId="1" xfId="0" applyNumberFormat="1" applyFont="1" applyFill="1" applyBorder="1" applyAlignment="1" applyProtection="1">
      <alignment horizontal="left" wrapText="1"/>
    </xf>
    <xf numFmtId="164" fontId="28" fillId="0" borderId="1" xfId="0" applyNumberFormat="1" applyFont="1" applyFill="1" applyBorder="1" applyAlignment="1">
      <alignment horizontal="right"/>
    </xf>
    <xf numFmtId="164" fontId="28" fillId="0" borderId="1" xfId="0" applyNumberFormat="1" applyFont="1" applyFill="1" applyBorder="1" applyAlignment="1"/>
    <xf numFmtId="164" fontId="13" fillId="0" borderId="1" xfId="0" applyNumberFormat="1" applyFont="1" applyFill="1" applyBorder="1" applyAlignment="1">
      <alignment horizontal="right"/>
    </xf>
    <xf numFmtId="168" fontId="28" fillId="0" borderId="1" xfId="0" applyNumberFormat="1" applyFont="1" applyFill="1" applyBorder="1" applyAlignment="1">
      <alignment horizontal="right"/>
    </xf>
    <xf numFmtId="49" fontId="18" fillId="0" borderId="1" xfId="0" applyNumberFormat="1" applyFont="1" applyFill="1" applyBorder="1" applyAlignment="1" applyProtection="1">
      <alignment horizontal="left" wrapText="1"/>
    </xf>
    <xf numFmtId="1" fontId="18" fillId="0" borderId="1" xfId="0" applyNumberFormat="1" applyFont="1" applyFill="1" applyBorder="1" applyAlignment="1">
      <alignment wrapText="1"/>
    </xf>
    <xf numFmtId="1" fontId="18" fillId="0" borderId="1" xfId="0" applyNumberFormat="1" applyFont="1" applyFill="1" applyBorder="1" applyAlignment="1"/>
    <xf numFmtId="164" fontId="18" fillId="0" borderId="1" xfId="0" applyNumberFormat="1" applyFont="1" applyFill="1" applyBorder="1" applyAlignment="1">
      <alignment horizontal="right" wrapText="1"/>
    </xf>
    <xf numFmtId="0" fontId="8" fillId="0" borderId="1" xfId="4" applyFont="1" applyFill="1" applyBorder="1"/>
    <xf numFmtId="0" fontId="18" fillId="0" borderId="1" xfId="4" applyFont="1" applyFill="1" applyBorder="1"/>
    <xf numFmtId="164" fontId="18" fillId="0" borderId="1" xfId="4" applyNumberFormat="1" applyFont="1" applyFill="1" applyBorder="1"/>
    <xf numFmtId="0" fontId="29" fillId="0" borderId="0" xfId="4" applyFont="1"/>
    <xf numFmtId="0" fontId="18" fillId="0" borderId="1" xfId="4" applyFont="1" applyFill="1" applyBorder="1" applyAlignment="1">
      <alignment wrapText="1"/>
    </xf>
    <xf numFmtId="164" fontId="18" fillId="0" borderId="1" xfId="4" applyNumberFormat="1" applyFont="1" applyFill="1" applyBorder="1" applyAlignment="1">
      <alignment wrapText="1"/>
    </xf>
    <xf numFmtId="0" fontId="13" fillId="0" borderId="1" xfId="4" applyFont="1" applyFill="1" applyBorder="1"/>
    <xf numFmtId="164" fontId="13" fillId="0" borderId="1" xfId="4" applyNumberFormat="1" applyFont="1" applyFill="1" applyBorder="1"/>
    <xf numFmtId="0" fontId="49" fillId="0" borderId="0" xfId="4" applyFont="1"/>
    <xf numFmtId="164" fontId="49" fillId="0" borderId="0" xfId="4" applyNumberFormat="1" applyFont="1"/>
    <xf numFmtId="164" fontId="18" fillId="0" borderId="0" xfId="4" applyNumberFormat="1" applyFont="1" applyFill="1"/>
    <xf numFmtId="0" fontId="18" fillId="0" borderId="0" xfId="4" applyFont="1" applyFill="1"/>
    <xf numFmtId="0" fontId="29" fillId="0" borderId="0" xfId="0" applyFont="1"/>
    <xf numFmtId="0" fontId="0" fillId="0" borderId="0" xfId="0" applyAlignment="1"/>
    <xf numFmtId="0" fontId="12" fillId="0" borderId="11" xfId="0" applyFont="1" applyBorder="1" applyAlignment="1">
      <alignment wrapText="1"/>
    </xf>
    <xf numFmtId="0" fontId="0" fillId="0" borderId="1" xfId="0" applyBorder="1" applyAlignment="1"/>
    <xf numFmtId="167" fontId="0" fillId="0" borderId="1" xfId="0" applyNumberFormat="1" applyBorder="1" applyAlignment="1"/>
    <xf numFmtId="168" fontId="0" fillId="0" borderId="1" xfId="0" applyNumberFormat="1" applyBorder="1" applyAlignment="1"/>
    <xf numFmtId="49" fontId="2" fillId="3" borderId="2" xfId="0" applyNumberFormat="1" applyFont="1" applyFill="1" applyBorder="1" applyAlignment="1" applyProtection="1">
      <alignment horizontal="left" vertical="center" wrapText="1"/>
    </xf>
    <xf numFmtId="0" fontId="12" fillId="3" borderId="11" xfId="0" applyFont="1" applyFill="1" applyBorder="1" applyAlignment="1">
      <alignment wrapText="1"/>
    </xf>
    <xf numFmtId="0" fontId="0" fillId="0" borderId="0" xfId="0" applyAlignment="1"/>
    <xf numFmtId="0" fontId="0" fillId="0" borderId="0" xfId="0" applyAlignment="1"/>
    <xf numFmtId="0" fontId="18" fillId="3" borderId="8" xfId="0" applyFont="1" applyFill="1" applyBorder="1" applyAlignment="1">
      <alignment wrapText="1"/>
    </xf>
    <xf numFmtId="168" fontId="18" fillId="0" borderId="6" xfId="0" applyNumberFormat="1" applyFont="1" applyBorder="1" applyAlignment="1">
      <alignment horizontal="right"/>
    </xf>
    <xf numFmtId="0" fontId="19" fillId="3" borderId="1" xfId="0" applyFont="1" applyFill="1" applyBorder="1"/>
    <xf numFmtId="0" fontId="19" fillId="0" borderId="1" xfId="0" applyFont="1" applyBorder="1"/>
    <xf numFmtId="0" fontId="0" fillId="0" borderId="0" xfId="0" applyAlignment="1"/>
    <xf numFmtId="0" fontId="18" fillId="3" borderId="0" xfId="0" applyFont="1" applyFill="1"/>
    <xf numFmtId="0" fontId="18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horizontal="center" wrapText="1"/>
    </xf>
    <xf numFmtId="0" fontId="29" fillId="3" borderId="0" xfId="0" applyFont="1" applyFill="1"/>
    <xf numFmtId="2" fontId="2" fillId="3" borderId="1" xfId="0" applyNumberFormat="1" applyFont="1" applyFill="1" applyBorder="1" applyAlignment="1" applyProtection="1">
      <alignment horizontal="center" wrapText="1"/>
    </xf>
    <xf numFmtId="2" fontId="8" fillId="3" borderId="1" xfId="0" applyNumberFormat="1" applyFont="1" applyFill="1" applyBorder="1" applyAlignment="1">
      <alignment horizontal="right"/>
    </xf>
    <xf numFmtId="2" fontId="18" fillId="3" borderId="0" xfId="0" applyNumberFormat="1" applyFont="1" applyFill="1"/>
    <xf numFmtId="0" fontId="8" fillId="11" borderId="1" xfId="0" applyFont="1" applyFill="1" applyBorder="1" applyAlignment="1">
      <alignment vertical="center"/>
    </xf>
    <xf numFmtId="49" fontId="12" fillId="11" borderId="6" xfId="0" applyNumberFormat="1" applyFont="1" applyFill="1" applyBorder="1" applyAlignment="1" applyProtection="1">
      <alignment horizontal="center" vertical="center" wrapText="1"/>
    </xf>
    <xf numFmtId="167" fontId="8" fillId="11" borderId="1" xfId="0" applyNumberFormat="1" applyFont="1" applyFill="1" applyBorder="1" applyAlignment="1" applyProtection="1"/>
    <xf numFmtId="2" fontId="18" fillId="3" borderId="1" xfId="0" applyNumberFormat="1" applyFont="1" applyFill="1" applyBorder="1" applyAlignment="1">
      <alignment horizontal="right"/>
    </xf>
    <xf numFmtId="49" fontId="18" fillId="3" borderId="1" xfId="0" applyNumberFormat="1" applyFont="1" applyFill="1" applyBorder="1" applyAlignment="1" applyProtection="1">
      <alignment horizontal="center" wrapText="1"/>
    </xf>
    <xf numFmtId="2" fontId="18" fillId="3" borderId="1" xfId="0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49" fontId="3" fillId="11" borderId="1" xfId="0" applyNumberFormat="1" applyFont="1" applyFill="1" applyBorder="1" applyAlignment="1" applyProtection="1">
      <alignment horizontal="left" wrapText="1"/>
    </xf>
    <xf numFmtId="49" fontId="13" fillId="11" borderId="1" xfId="0" applyNumberFormat="1" applyFont="1" applyFill="1" applyBorder="1" applyAlignment="1" applyProtection="1">
      <alignment horizontal="center" wrapText="1"/>
    </xf>
    <xf numFmtId="0" fontId="27" fillId="3" borderId="1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 applyProtection="1">
      <alignment horizontal="center" vertical="center" wrapText="1"/>
    </xf>
    <xf numFmtId="167" fontId="8" fillId="3" borderId="8" xfId="0" applyNumberFormat="1" applyFont="1" applyFill="1" applyBorder="1" applyAlignment="1">
      <alignment horizontal="right"/>
    </xf>
    <xf numFmtId="167" fontId="18" fillId="3" borderId="23" xfId="0" applyNumberFormat="1" applyFont="1" applyFill="1" applyBorder="1" applyAlignment="1">
      <alignment horizontal="right"/>
    </xf>
    <xf numFmtId="167" fontId="18" fillId="0" borderId="23" xfId="0" applyNumberFormat="1" applyFont="1" applyBorder="1" applyAlignment="1" applyProtection="1">
      <alignment wrapText="1"/>
    </xf>
    <xf numFmtId="167" fontId="8" fillId="3" borderId="23" xfId="0" applyNumberFormat="1" applyFont="1" applyFill="1" applyBorder="1" applyAlignment="1">
      <alignment horizontal="right"/>
    </xf>
    <xf numFmtId="167" fontId="18" fillId="3" borderId="45" xfId="0" applyNumberFormat="1" applyFont="1" applyFill="1" applyBorder="1" applyAlignment="1">
      <alignment horizontal="right"/>
    </xf>
    <xf numFmtId="0" fontId="2" fillId="0" borderId="45" xfId="0" applyFont="1" applyBorder="1" applyAlignment="1">
      <alignment wrapText="1"/>
    </xf>
    <xf numFmtId="0" fontId="7" fillId="0" borderId="1" xfId="0" applyFont="1" applyBorder="1"/>
    <xf numFmtId="167" fontId="8" fillId="11" borderId="1" xfId="0" applyNumberFormat="1" applyFont="1" applyFill="1" applyBorder="1" applyAlignment="1">
      <alignment horizontal="right"/>
    </xf>
    <xf numFmtId="49" fontId="8" fillId="11" borderId="1" xfId="0" applyNumberFormat="1" applyFont="1" applyFill="1" applyBorder="1" applyAlignment="1" applyProtection="1">
      <alignment horizontal="left" wrapText="1"/>
    </xf>
    <xf numFmtId="49" fontId="3" fillId="11" borderId="1" xfId="0" applyNumberFormat="1" applyFont="1" applyFill="1" applyBorder="1" applyAlignment="1" applyProtection="1">
      <alignment horizontal="center" wrapText="1"/>
    </xf>
    <xf numFmtId="2" fontId="12" fillId="11" borderId="1" xfId="0" applyNumberFormat="1" applyFont="1" applyFill="1" applyBorder="1" applyAlignment="1" applyProtection="1">
      <alignment horizontal="center" wrapText="1"/>
    </xf>
    <xf numFmtId="167" fontId="8" fillId="11" borderId="23" xfId="0" applyNumberFormat="1" applyFont="1" applyFill="1" applyBorder="1" applyAlignment="1">
      <alignment horizontal="right"/>
    </xf>
    <xf numFmtId="167" fontId="8" fillId="11" borderId="8" xfId="0" applyNumberFormat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left" wrapText="1"/>
    </xf>
    <xf numFmtId="0" fontId="3" fillId="6" borderId="3" xfId="0" applyFont="1" applyFill="1" applyBorder="1" applyAlignment="1">
      <alignment horizontal="left"/>
    </xf>
    <xf numFmtId="49" fontId="12" fillId="6" borderId="1" xfId="0" applyNumberFormat="1" applyFont="1" applyFill="1" applyBorder="1" applyAlignment="1" applyProtection="1">
      <alignment horizontal="center" wrapText="1"/>
    </xf>
    <xf numFmtId="167" fontId="8" fillId="6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/>
    <xf numFmtId="0" fontId="21" fillId="6" borderId="1" xfId="0" applyFont="1" applyFill="1" applyBorder="1" applyAlignment="1"/>
    <xf numFmtId="167" fontId="8" fillId="6" borderId="1" xfId="0" applyNumberFormat="1" applyFont="1" applyFill="1" applyBorder="1" applyAlignment="1" applyProtection="1"/>
    <xf numFmtId="49" fontId="3" fillId="6" borderId="1" xfId="0" applyNumberFormat="1" applyFont="1" applyFill="1" applyBorder="1" applyAlignment="1" applyProtection="1">
      <alignment horizontal="left" wrapText="1"/>
    </xf>
    <xf numFmtId="49" fontId="3" fillId="6" borderId="1" xfId="0" applyNumberFormat="1" applyFont="1" applyFill="1" applyBorder="1" applyAlignment="1" applyProtection="1">
      <alignment horizontal="center" wrapText="1"/>
    </xf>
    <xf numFmtId="2" fontId="12" fillId="6" borderId="1" xfId="0" applyNumberFormat="1" applyFont="1" applyFill="1" applyBorder="1" applyAlignment="1" applyProtection="1">
      <alignment horizontal="center" wrapText="1"/>
    </xf>
    <xf numFmtId="2" fontId="8" fillId="6" borderId="1" xfId="0" applyNumberFormat="1" applyFont="1" applyFill="1" applyBorder="1" applyAlignment="1">
      <alignment horizontal="right"/>
    </xf>
    <xf numFmtId="166" fontId="36" fillId="0" borderId="1" xfId="0" applyNumberFormat="1" applyFont="1" applyBorder="1"/>
    <xf numFmtId="167" fontId="35" fillId="0" borderId="1" xfId="0" applyNumberFormat="1" applyFont="1" applyBorder="1"/>
    <xf numFmtId="167" fontId="16" fillId="0" borderId="1" xfId="0" applyNumberFormat="1" applyFont="1" applyBorder="1"/>
    <xf numFmtId="166" fontId="35" fillId="0" borderId="1" xfId="0" applyNumberFormat="1" applyFont="1" applyBorder="1"/>
    <xf numFmtId="166" fontId="16" fillId="0" borderId="1" xfId="0" applyNumberFormat="1" applyFont="1" applyBorder="1"/>
    <xf numFmtId="0" fontId="35" fillId="6" borderId="1" xfId="0" applyFont="1" applyFill="1" applyBorder="1" applyAlignment="1">
      <alignment wrapText="1"/>
    </xf>
    <xf numFmtId="166" fontId="35" fillId="6" borderId="1" xfId="0" applyNumberFormat="1" applyFont="1" applyFill="1" applyBorder="1"/>
    <xf numFmtId="166" fontId="16" fillId="6" borderId="1" xfId="0" applyNumberFormat="1" applyFont="1" applyFill="1" applyBorder="1"/>
    <xf numFmtId="166" fontId="19" fillId="6" borderId="1" xfId="0" applyNumberFormat="1" applyFont="1" applyFill="1" applyBorder="1"/>
    <xf numFmtId="0" fontId="36" fillId="6" borderId="1" xfId="0" applyFont="1" applyFill="1" applyBorder="1"/>
    <xf numFmtId="166" fontId="36" fillId="6" borderId="1" xfId="0" applyNumberFormat="1" applyFont="1" applyFill="1" applyBorder="1"/>
    <xf numFmtId="167" fontId="36" fillId="6" borderId="1" xfId="0" applyNumberFormat="1" applyFont="1" applyFill="1" applyBorder="1"/>
    <xf numFmtId="167" fontId="8" fillId="6" borderId="1" xfId="0" applyNumberFormat="1" applyFont="1" applyFill="1" applyBorder="1"/>
    <xf numFmtId="0" fontId="35" fillId="6" borderId="1" xfId="0" applyFont="1" applyFill="1" applyBorder="1"/>
    <xf numFmtId="167" fontId="35" fillId="6" borderId="1" xfId="0" applyNumberFormat="1" applyFont="1" applyFill="1" applyBorder="1"/>
    <xf numFmtId="167" fontId="16" fillId="6" borderId="1" xfId="0" applyNumberFormat="1" applyFont="1" applyFill="1" applyBorder="1"/>
    <xf numFmtId="0" fontId="36" fillId="3" borderId="1" xfId="0" applyFont="1" applyFill="1" applyBorder="1" applyAlignment="1">
      <alignment wrapText="1"/>
    </xf>
    <xf numFmtId="166" fontId="35" fillId="3" borderId="1" xfId="0" applyNumberFormat="1" applyFont="1" applyFill="1" applyBorder="1"/>
    <xf numFmtId="167" fontId="35" fillId="3" borderId="1" xfId="0" applyNumberFormat="1" applyFont="1" applyFill="1" applyBorder="1"/>
    <xf numFmtId="0" fontId="0" fillId="0" borderId="0" xfId="0" applyAlignment="1"/>
    <xf numFmtId="167" fontId="18" fillId="3" borderId="0" xfId="0" applyNumberFormat="1" applyFont="1" applyFill="1"/>
    <xf numFmtId="167" fontId="8" fillId="9" borderId="1" xfId="0" applyNumberFormat="1" applyFont="1" applyFill="1" applyBorder="1"/>
    <xf numFmtId="167" fontId="16" fillId="9" borderId="1" xfId="0" applyNumberFormat="1" applyFont="1" applyFill="1" applyBorder="1"/>
    <xf numFmtId="167" fontId="35" fillId="9" borderId="1" xfId="0" applyNumberFormat="1" applyFont="1" applyFill="1" applyBorder="1"/>
    <xf numFmtId="166" fontId="36" fillId="9" borderId="1" xfId="0" applyNumberFormat="1" applyFont="1" applyFill="1" applyBorder="1"/>
    <xf numFmtId="166" fontId="16" fillId="9" borderId="1" xfId="0" applyNumberFormat="1" applyFont="1" applyFill="1" applyBorder="1"/>
    <xf numFmtId="166" fontId="19" fillId="9" borderId="1" xfId="0" applyNumberFormat="1" applyFont="1" applyFill="1" applyBorder="1"/>
    <xf numFmtId="167" fontId="19" fillId="9" borderId="1" xfId="0" applyNumberFormat="1" applyFont="1" applyFill="1" applyBorder="1"/>
    <xf numFmtId="0" fontId="0" fillId="0" borderId="0" xfId="0" applyAlignment="1"/>
    <xf numFmtId="0" fontId="9" fillId="0" borderId="0" xfId="0" applyFont="1" applyBorder="1" applyAlignment="1" applyProtection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6" fillId="0" borderId="35" xfId="0" applyFont="1" applyBorder="1" applyAlignment="1" applyProtection="1">
      <alignment horizontal="right" wrapText="1"/>
    </xf>
    <xf numFmtId="0" fontId="9" fillId="0" borderId="35" xfId="0" applyFont="1" applyBorder="1" applyAlignment="1" applyProtection="1"/>
    <xf numFmtId="0" fontId="14" fillId="0" borderId="35" xfId="0" applyFont="1" applyBorder="1" applyAlignment="1"/>
    <xf numFmtId="0" fontId="19" fillId="0" borderId="0" xfId="4" applyFont="1" applyFill="1" applyAlignment="1">
      <alignment horizontal="center"/>
    </xf>
    <xf numFmtId="0" fontId="47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wrapText="1"/>
    </xf>
    <xf numFmtId="0" fontId="25" fillId="0" borderId="8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26" fillId="0" borderId="1" xfId="0" applyFont="1" applyFill="1" applyBorder="1" applyAlignment="1"/>
  </cellXfs>
  <cellStyles count="5">
    <cellStyle name="Обычный" xfId="0" builtinId="0"/>
    <cellStyle name="Обычный 2" xfId="4"/>
    <cellStyle name="Обычный_Итог" xfId="1"/>
    <cellStyle name="Обычный_Подохдн." xfId="2"/>
    <cellStyle name="Обычный_УФНС-планы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4"/>
  <sheetViews>
    <sheetView workbookViewId="0">
      <selection activeCell="V36" sqref="V36"/>
    </sheetView>
  </sheetViews>
  <sheetFormatPr defaultRowHeight="12.75" x14ac:dyDescent="0.2"/>
  <cols>
    <col min="1" max="1" width="27.85546875" customWidth="1"/>
    <col min="2" max="2" width="12.140625" customWidth="1"/>
    <col min="3" max="3" width="11" customWidth="1"/>
    <col min="4" max="4" width="12.85546875" customWidth="1"/>
    <col min="5" max="6" width="10.7109375" hidden="1" customWidth="1"/>
    <col min="7" max="8" width="11.28515625" hidden="1" customWidth="1"/>
    <col min="9" max="9" width="10.7109375" hidden="1" customWidth="1"/>
    <col min="10" max="11" width="11.5703125" hidden="1" customWidth="1"/>
    <col min="12" max="12" width="10.7109375" hidden="1" customWidth="1"/>
    <col min="13" max="14" width="11.140625" hidden="1" customWidth="1"/>
    <col min="15" max="15" width="12.28515625" hidden="1" customWidth="1"/>
    <col min="16" max="16" width="11" hidden="1" customWidth="1"/>
    <col min="17" max="17" width="10.7109375" hidden="1" customWidth="1"/>
    <col min="18" max="18" width="11" hidden="1" customWidth="1"/>
    <col min="19" max="19" width="12.140625" hidden="1" customWidth="1"/>
    <col min="20" max="20" width="0.28515625" hidden="1" customWidth="1"/>
    <col min="21" max="21" width="13" hidden="1" customWidth="1"/>
    <col min="22" max="22" width="15.7109375" customWidth="1"/>
    <col min="23" max="23" width="14.85546875" customWidth="1"/>
    <col min="258" max="258" width="27.85546875" customWidth="1"/>
    <col min="259" max="259" width="11" customWidth="1"/>
    <col min="260" max="260" width="10.5703125" customWidth="1"/>
    <col min="261" max="262" width="10.7109375" customWidth="1"/>
    <col min="263" max="264" width="11.28515625" customWidth="1"/>
    <col min="265" max="265" width="10.7109375" customWidth="1"/>
    <col min="266" max="267" width="11.5703125" customWidth="1"/>
    <col min="268" max="268" width="10.7109375" customWidth="1"/>
    <col min="269" max="270" width="11.140625" customWidth="1"/>
    <col min="271" max="271" width="12.28515625" customWidth="1"/>
    <col min="272" max="272" width="11" customWidth="1"/>
    <col min="273" max="273" width="10.7109375" customWidth="1"/>
    <col min="274" max="274" width="11" customWidth="1"/>
    <col min="275" max="275" width="12.140625" customWidth="1"/>
    <col min="276" max="277" width="0" hidden="1" customWidth="1"/>
    <col min="278" max="278" width="15.7109375" customWidth="1"/>
    <col min="514" max="514" width="27.85546875" customWidth="1"/>
    <col min="515" max="515" width="11" customWidth="1"/>
    <col min="516" max="516" width="10.5703125" customWidth="1"/>
    <col min="517" max="518" width="10.7109375" customWidth="1"/>
    <col min="519" max="520" width="11.28515625" customWidth="1"/>
    <col min="521" max="521" width="10.7109375" customWidth="1"/>
    <col min="522" max="523" width="11.5703125" customWidth="1"/>
    <col min="524" max="524" width="10.7109375" customWidth="1"/>
    <col min="525" max="526" width="11.140625" customWidth="1"/>
    <col min="527" max="527" width="12.28515625" customWidth="1"/>
    <col min="528" max="528" width="11" customWidth="1"/>
    <col min="529" max="529" width="10.7109375" customWidth="1"/>
    <col min="530" max="530" width="11" customWidth="1"/>
    <col min="531" max="531" width="12.140625" customWidth="1"/>
    <col min="532" max="533" width="0" hidden="1" customWidth="1"/>
    <col min="534" max="534" width="15.7109375" customWidth="1"/>
    <col min="770" max="770" width="27.85546875" customWidth="1"/>
    <col min="771" max="771" width="11" customWidth="1"/>
    <col min="772" max="772" width="10.5703125" customWidth="1"/>
    <col min="773" max="774" width="10.7109375" customWidth="1"/>
    <col min="775" max="776" width="11.28515625" customWidth="1"/>
    <col min="777" max="777" width="10.7109375" customWidth="1"/>
    <col min="778" max="779" width="11.5703125" customWidth="1"/>
    <col min="780" max="780" width="10.7109375" customWidth="1"/>
    <col min="781" max="782" width="11.140625" customWidth="1"/>
    <col min="783" max="783" width="12.28515625" customWidth="1"/>
    <col min="784" max="784" width="11" customWidth="1"/>
    <col min="785" max="785" width="10.7109375" customWidth="1"/>
    <col min="786" max="786" width="11" customWidth="1"/>
    <col min="787" max="787" width="12.140625" customWidth="1"/>
    <col min="788" max="789" width="0" hidden="1" customWidth="1"/>
    <col min="790" max="790" width="15.7109375" customWidth="1"/>
    <col min="1026" max="1026" width="27.85546875" customWidth="1"/>
    <col min="1027" max="1027" width="11" customWidth="1"/>
    <col min="1028" max="1028" width="10.5703125" customWidth="1"/>
    <col min="1029" max="1030" width="10.7109375" customWidth="1"/>
    <col min="1031" max="1032" width="11.28515625" customWidth="1"/>
    <col min="1033" max="1033" width="10.7109375" customWidth="1"/>
    <col min="1034" max="1035" width="11.5703125" customWidth="1"/>
    <col min="1036" max="1036" width="10.7109375" customWidth="1"/>
    <col min="1037" max="1038" width="11.140625" customWidth="1"/>
    <col min="1039" max="1039" width="12.28515625" customWidth="1"/>
    <col min="1040" max="1040" width="11" customWidth="1"/>
    <col min="1041" max="1041" width="10.7109375" customWidth="1"/>
    <col min="1042" max="1042" width="11" customWidth="1"/>
    <col min="1043" max="1043" width="12.140625" customWidth="1"/>
    <col min="1044" max="1045" width="0" hidden="1" customWidth="1"/>
    <col min="1046" max="1046" width="15.7109375" customWidth="1"/>
    <col min="1282" max="1282" width="27.85546875" customWidth="1"/>
    <col min="1283" max="1283" width="11" customWidth="1"/>
    <col min="1284" max="1284" width="10.5703125" customWidth="1"/>
    <col min="1285" max="1286" width="10.7109375" customWidth="1"/>
    <col min="1287" max="1288" width="11.28515625" customWidth="1"/>
    <col min="1289" max="1289" width="10.7109375" customWidth="1"/>
    <col min="1290" max="1291" width="11.5703125" customWidth="1"/>
    <col min="1292" max="1292" width="10.7109375" customWidth="1"/>
    <col min="1293" max="1294" width="11.140625" customWidth="1"/>
    <col min="1295" max="1295" width="12.28515625" customWidth="1"/>
    <col min="1296" max="1296" width="11" customWidth="1"/>
    <col min="1297" max="1297" width="10.7109375" customWidth="1"/>
    <col min="1298" max="1298" width="11" customWidth="1"/>
    <col min="1299" max="1299" width="12.140625" customWidth="1"/>
    <col min="1300" max="1301" width="0" hidden="1" customWidth="1"/>
    <col min="1302" max="1302" width="15.7109375" customWidth="1"/>
    <col min="1538" max="1538" width="27.85546875" customWidth="1"/>
    <col min="1539" max="1539" width="11" customWidth="1"/>
    <col min="1540" max="1540" width="10.5703125" customWidth="1"/>
    <col min="1541" max="1542" width="10.7109375" customWidth="1"/>
    <col min="1543" max="1544" width="11.28515625" customWidth="1"/>
    <col min="1545" max="1545" width="10.7109375" customWidth="1"/>
    <col min="1546" max="1547" width="11.5703125" customWidth="1"/>
    <col min="1548" max="1548" width="10.7109375" customWidth="1"/>
    <col min="1549" max="1550" width="11.140625" customWidth="1"/>
    <col min="1551" max="1551" width="12.28515625" customWidth="1"/>
    <col min="1552" max="1552" width="11" customWidth="1"/>
    <col min="1553" max="1553" width="10.7109375" customWidth="1"/>
    <col min="1554" max="1554" width="11" customWidth="1"/>
    <col min="1555" max="1555" width="12.140625" customWidth="1"/>
    <col min="1556" max="1557" width="0" hidden="1" customWidth="1"/>
    <col min="1558" max="1558" width="15.7109375" customWidth="1"/>
    <col min="1794" max="1794" width="27.85546875" customWidth="1"/>
    <col min="1795" max="1795" width="11" customWidth="1"/>
    <col min="1796" max="1796" width="10.5703125" customWidth="1"/>
    <col min="1797" max="1798" width="10.7109375" customWidth="1"/>
    <col min="1799" max="1800" width="11.28515625" customWidth="1"/>
    <col min="1801" max="1801" width="10.7109375" customWidth="1"/>
    <col min="1802" max="1803" width="11.5703125" customWidth="1"/>
    <col min="1804" max="1804" width="10.7109375" customWidth="1"/>
    <col min="1805" max="1806" width="11.140625" customWidth="1"/>
    <col min="1807" max="1807" width="12.28515625" customWidth="1"/>
    <col min="1808" max="1808" width="11" customWidth="1"/>
    <col min="1809" max="1809" width="10.7109375" customWidth="1"/>
    <col min="1810" max="1810" width="11" customWidth="1"/>
    <col min="1811" max="1811" width="12.140625" customWidth="1"/>
    <col min="1812" max="1813" width="0" hidden="1" customWidth="1"/>
    <col min="1814" max="1814" width="15.7109375" customWidth="1"/>
    <col min="2050" max="2050" width="27.85546875" customWidth="1"/>
    <col min="2051" max="2051" width="11" customWidth="1"/>
    <col min="2052" max="2052" width="10.5703125" customWidth="1"/>
    <col min="2053" max="2054" width="10.7109375" customWidth="1"/>
    <col min="2055" max="2056" width="11.28515625" customWidth="1"/>
    <col min="2057" max="2057" width="10.7109375" customWidth="1"/>
    <col min="2058" max="2059" width="11.5703125" customWidth="1"/>
    <col min="2060" max="2060" width="10.7109375" customWidth="1"/>
    <col min="2061" max="2062" width="11.140625" customWidth="1"/>
    <col min="2063" max="2063" width="12.28515625" customWidth="1"/>
    <col min="2064" max="2064" width="11" customWidth="1"/>
    <col min="2065" max="2065" width="10.7109375" customWidth="1"/>
    <col min="2066" max="2066" width="11" customWidth="1"/>
    <col min="2067" max="2067" width="12.140625" customWidth="1"/>
    <col min="2068" max="2069" width="0" hidden="1" customWidth="1"/>
    <col min="2070" max="2070" width="15.7109375" customWidth="1"/>
    <col min="2306" max="2306" width="27.85546875" customWidth="1"/>
    <col min="2307" max="2307" width="11" customWidth="1"/>
    <col min="2308" max="2308" width="10.5703125" customWidth="1"/>
    <col min="2309" max="2310" width="10.7109375" customWidth="1"/>
    <col min="2311" max="2312" width="11.28515625" customWidth="1"/>
    <col min="2313" max="2313" width="10.7109375" customWidth="1"/>
    <col min="2314" max="2315" width="11.5703125" customWidth="1"/>
    <col min="2316" max="2316" width="10.7109375" customWidth="1"/>
    <col min="2317" max="2318" width="11.140625" customWidth="1"/>
    <col min="2319" max="2319" width="12.28515625" customWidth="1"/>
    <col min="2320" max="2320" width="11" customWidth="1"/>
    <col min="2321" max="2321" width="10.7109375" customWidth="1"/>
    <col min="2322" max="2322" width="11" customWidth="1"/>
    <col min="2323" max="2323" width="12.140625" customWidth="1"/>
    <col min="2324" max="2325" width="0" hidden="1" customWidth="1"/>
    <col min="2326" max="2326" width="15.7109375" customWidth="1"/>
    <col min="2562" max="2562" width="27.85546875" customWidth="1"/>
    <col min="2563" max="2563" width="11" customWidth="1"/>
    <col min="2564" max="2564" width="10.5703125" customWidth="1"/>
    <col min="2565" max="2566" width="10.7109375" customWidth="1"/>
    <col min="2567" max="2568" width="11.28515625" customWidth="1"/>
    <col min="2569" max="2569" width="10.7109375" customWidth="1"/>
    <col min="2570" max="2571" width="11.5703125" customWidth="1"/>
    <col min="2572" max="2572" width="10.7109375" customWidth="1"/>
    <col min="2573" max="2574" width="11.140625" customWidth="1"/>
    <col min="2575" max="2575" width="12.28515625" customWidth="1"/>
    <col min="2576" max="2576" width="11" customWidth="1"/>
    <col min="2577" max="2577" width="10.7109375" customWidth="1"/>
    <col min="2578" max="2578" width="11" customWidth="1"/>
    <col min="2579" max="2579" width="12.140625" customWidth="1"/>
    <col min="2580" max="2581" width="0" hidden="1" customWidth="1"/>
    <col min="2582" max="2582" width="15.7109375" customWidth="1"/>
    <col min="2818" max="2818" width="27.85546875" customWidth="1"/>
    <col min="2819" max="2819" width="11" customWidth="1"/>
    <col min="2820" max="2820" width="10.5703125" customWidth="1"/>
    <col min="2821" max="2822" width="10.7109375" customWidth="1"/>
    <col min="2823" max="2824" width="11.28515625" customWidth="1"/>
    <col min="2825" max="2825" width="10.7109375" customWidth="1"/>
    <col min="2826" max="2827" width="11.5703125" customWidth="1"/>
    <col min="2828" max="2828" width="10.7109375" customWidth="1"/>
    <col min="2829" max="2830" width="11.140625" customWidth="1"/>
    <col min="2831" max="2831" width="12.28515625" customWidth="1"/>
    <col min="2832" max="2832" width="11" customWidth="1"/>
    <col min="2833" max="2833" width="10.7109375" customWidth="1"/>
    <col min="2834" max="2834" width="11" customWidth="1"/>
    <col min="2835" max="2835" width="12.140625" customWidth="1"/>
    <col min="2836" max="2837" width="0" hidden="1" customWidth="1"/>
    <col min="2838" max="2838" width="15.7109375" customWidth="1"/>
    <col min="3074" max="3074" width="27.85546875" customWidth="1"/>
    <col min="3075" max="3075" width="11" customWidth="1"/>
    <col min="3076" max="3076" width="10.5703125" customWidth="1"/>
    <col min="3077" max="3078" width="10.7109375" customWidth="1"/>
    <col min="3079" max="3080" width="11.28515625" customWidth="1"/>
    <col min="3081" max="3081" width="10.7109375" customWidth="1"/>
    <col min="3082" max="3083" width="11.5703125" customWidth="1"/>
    <col min="3084" max="3084" width="10.7109375" customWidth="1"/>
    <col min="3085" max="3086" width="11.140625" customWidth="1"/>
    <col min="3087" max="3087" width="12.28515625" customWidth="1"/>
    <col min="3088" max="3088" width="11" customWidth="1"/>
    <col min="3089" max="3089" width="10.7109375" customWidth="1"/>
    <col min="3090" max="3090" width="11" customWidth="1"/>
    <col min="3091" max="3091" width="12.140625" customWidth="1"/>
    <col min="3092" max="3093" width="0" hidden="1" customWidth="1"/>
    <col min="3094" max="3094" width="15.7109375" customWidth="1"/>
    <col min="3330" max="3330" width="27.85546875" customWidth="1"/>
    <col min="3331" max="3331" width="11" customWidth="1"/>
    <col min="3332" max="3332" width="10.5703125" customWidth="1"/>
    <col min="3333" max="3334" width="10.7109375" customWidth="1"/>
    <col min="3335" max="3336" width="11.28515625" customWidth="1"/>
    <col min="3337" max="3337" width="10.7109375" customWidth="1"/>
    <col min="3338" max="3339" width="11.5703125" customWidth="1"/>
    <col min="3340" max="3340" width="10.7109375" customWidth="1"/>
    <col min="3341" max="3342" width="11.140625" customWidth="1"/>
    <col min="3343" max="3343" width="12.28515625" customWidth="1"/>
    <col min="3344" max="3344" width="11" customWidth="1"/>
    <col min="3345" max="3345" width="10.7109375" customWidth="1"/>
    <col min="3346" max="3346" width="11" customWidth="1"/>
    <col min="3347" max="3347" width="12.140625" customWidth="1"/>
    <col min="3348" max="3349" width="0" hidden="1" customWidth="1"/>
    <col min="3350" max="3350" width="15.7109375" customWidth="1"/>
    <col min="3586" max="3586" width="27.85546875" customWidth="1"/>
    <col min="3587" max="3587" width="11" customWidth="1"/>
    <col min="3588" max="3588" width="10.5703125" customWidth="1"/>
    <col min="3589" max="3590" width="10.7109375" customWidth="1"/>
    <col min="3591" max="3592" width="11.28515625" customWidth="1"/>
    <col min="3593" max="3593" width="10.7109375" customWidth="1"/>
    <col min="3594" max="3595" width="11.5703125" customWidth="1"/>
    <col min="3596" max="3596" width="10.7109375" customWidth="1"/>
    <col min="3597" max="3598" width="11.140625" customWidth="1"/>
    <col min="3599" max="3599" width="12.28515625" customWidth="1"/>
    <col min="3600" max="3600" width="11" customWidth="1"/>
    <col min="3601" max="3601" width="10.7109375" customWidth="1"/>
    <col min="3602" max="3602" width="11" customWidth="1"/>
    <col min="3603" max="3603" width="12.140625" customWidth="1"/>
    <col min="3604" max="3605" width="0" hidden="1" customWidth="1"/>
    <col min="3606" max="3606" width="15.7109375" customWidth="1"/>
    <col min="3842" max="3842" width="27.85546875" customWidth="1"/>
    <col min="3843" max="3843" width="11" customWidth="1"/>
    <col min="3844" max="3844" width="10.5703125" customWidth="1"/>
    <col min="3845" max="3846" width="10.7109375" customWidth="1"/>
    <col min="3847" max="3848" width="11.28515625" customWidth="1"/>
    <col min="3849" max="3849" width="10.7109375" customWidth="1"/>
    <col min="3850" max="3851" width="11.5703125" customWidth="1"/>
    <col min="3852" max="3852" width="10.7109375" customWidth="1"/>
    <col min="3853" max="3854" width="11.140625" customWidth="1"/>
    <col min="3855" max="3855" width="12.28515625" customWidth="1"/>
    <col min="3856" max="3856" width="11" customWidth="1"/>
    <col min="3857" max="3857" width="10.7109375" customWidth="1"/>
    <col min="3858" max="3858" width="11" customWidth="1"/>
    <col min="3859" max="3859" width="12.140625" customWidth="1"/>
    <col min="3860" max="3861" width="0" hidden="1" customWidth="1"/>
    <col min="3862" max="3862" width="15.7109375" customWidth="1"/>
    <col min="4098" max="4098" width="27.85546875" customWidth="1"/>
    <col min="4099" max="4099" width="11" customWidth="1"/>
    <col min="4100" max="4100" width="10.5703125" customWidth="1"/>
    <col min="4101" max="4102" width="10.7109375" customWidth="1"/>
    <col min="4103" max="4104" width="11.28515625" customWidth="1"/>
    <col min="4105" max="4105" width="10.7109375" customWidth="1"/>
    <col min="4106" max="4107" width="11.5703125" customWidth="1"/>
    <col min="4108" max="4108" width="10.7109375" customWidth="1"/>
    <col min="4109" max="4110" width="11.140625" customWidth="1"/>
    <col min="4111" max="4111" width="12.28515625" customWidth="1"/>
    <col min="4112" max="4112" width="11" customWidth="1"/>
    <col min="4113" max="4113" width="10.7109375" customWidth="1"/>
    <col min="4114" max="4114" width="11" customWidth="1"/>
    <col min="4115" max="4115" width="12.140625" customWidth="1"/>
    <col min="4116" max="4117" width="0" hidden="1" customWidth="1"/>
    <col min="4118" max="4118" width="15.7109375" customWidth="1"/>
    <col min="4354" max="4354" width="27.85546875" customWidth="1"/>
    <col min="4355" max="4355" width="11" customWidth="1"/>
    <col min="4356" max="4356" width="10.5703125" customWidth="1"/>
    <col min="4357" max="4358" width="10.7109375" customWidth="1"/>
    <col min="4359" max="4360" width="11.28515625" customWidth="1"/>
    <col min="4361" max="4361" width="10.7109375" customWidth="1"/>
    <col min="4362" max="4363" width="11.5703125" customWidth="1"/>
    <col min="4364" max="4364" width="10.7109375" customWidth="1"/>
    <col min="4365" max="4366" width="11.140625" customWidth="1"/>
    <col min="4367" max="4367" width="12.28515625" customWidth="1"/>
    <col min="4368" max="4368" width="11" customWidth="1"/>
    <col min="4369" max="4369" width="10.7109375" customWidth="1"/>
    <col min="4370" max="4370" width="11" customWidth="1"/>
    <col min="4371" max="4371" width="12.140625" customWidth="1"/>
    <col min="4372" max="4373" width="0" hidden="1" customWidth="1"/>
    <col min="4374" max="4374" width="15.7109375" customWidth="1"/>
    <col min="4610" max="4610" width="27.85546875" customWidth="1"/>
    <col min="4611" max="4611" width="11" customWidth="1"/>
    <col min="4612" max="4612" width="10.5703125" customWidth="1"/>
    <col min="4613" max="4614" width="10.7109375" customWidth="1"/>
    <col min="4615" max="4616" width="11.28515625" customWidth="1"/>
    <col min="4617" max="4617" width="10.7109375" customWidth="1"/>
    <col min="4618" max="4619" width="11.5703125" customWidth="1"/>
    <col min="4620" max="4620" width="10.7109375" customWidth="1"/>
    <col min="4621" max="4622" width="11.140625" customWidth="1"/>
    <col min="4623" max="4623" width="12.28515625" customWidth="1"/>
    <col min="4624" max="4624" width="11" customWidth="1"/>
    <col min="4625" max="4625" width="10.7109375" customWidth="1"/>
    <col min="4626" max="4626" width="11" customWidth="1"/>
    <col min="4627" max="4627" width="12.140625" customWidth="1"/>
    <col min="4628" max="4629" width="0" hidden="1" customWidth="1"/>
    <col min="4630" max="4630" width="15.7109375" customWidth="1"/>
    <col min="4866" max="4866" width="27.85546875" customWidth="1"/>
    <col min="4867" max="4867" width="11" customWidth="1"/>
    <col min="4868" max="4868" width="10.5703125" customWidth="1"/>
    <col min="4869" max="4870" width="10.7109375" customWidth="1"/>
    <col min="4871" max="4872" width="11.28515625" customWidth="1"/>
    <col min="4873" max="4873" width="10.7109375" customWidth="1"/>
    <col min="4874" max="4875" width="11.5703125" customWidth="1"/>
    <col min="4876" max="4876" width="10.7109375" customWidth="1"/>
    <col min="4877" max="4878" width="11.140625" customWidth="1"/>
    <col min="4879" max="4879" width="12.28515625" customWidth="1"/>
    <col min="4880" max="4880" width="11" customWidth="1"/>
    <col min="4881" max="4881" width="10.7109375" customWidth="1"/>
    <col min="4882" max="4882" width="11" customWidth="1"/>
    <col min="4883" max="4883" width="12.140625" customWidth="1"/>
    <col min="4884" max="4885" width="0" hidden="1" customWidth="1"/>
    <col min="4886" max="4886" width="15.7109375" customWidth="1"/>
    <col min="5122" max="5122" width="27.85546875" customWidth="1"/>
    <col min="5123" max="5123" width="11" customWidth="1"/>
    <col min="5124" max="5124" width="10.5703125" customWidth="1"/>
    <col min="5125" max="5126" width="10.7109375" customWidth="1"/>
    <col min="5127" max="5128" width="11.28515625" customWidth="1"/>
    <col min="5129" max="5129" width="10.7109375" customWidth="1"/>
    <col min="5130" max="5131" width="11.5703125" customWidth="1"/>
    <col min="5132" max="5132" width="10.7109375" customWidth="1"/>
    <col min="5133" max="5134" width="11.140625" customWidth="1"/>
    <col min="5135" max="5135" width="12.28515625" customWidth="1"/>
    <col min="5136" max="5136" width="11" customWidth="1"/>
    <col min="5137" max="5137" width="10.7109375" customWidth="1"/>
    <col min="5138" max="5138" width="11" customWidth="1"/>
    <col min="5139" max="5139" width="12.140625" customWidth="1"/>
    <col min="5140" max="5141" width="0" hidden="1" customWidth="1"/>
    <col min="5142" max="5142" width="15.7109375" customWidth="1"/>
    <col min="5378" max="5378" width="27.85546875" customWidth="1"/>
    <col min="5379" max="5379" width="11" customWidth="1"/>
    <col min="5380" max="5380" width="10.5703125" customWidth="1"/>
    <col min="5381" max="5382" width="10.7109375" customWidth="1"/>
    <col min="5383" max="5384" width="11.28515625" customWidth="1"/>
    <col min="5385" max="5385" width="10.7109375" customWidth="1"/>
    <col min="5386" max="5387" width="11.5703125" customWidth="1"/>
    <col min="5388" max="5388" width="10.7109375" customWidth="1"/>
    <col min="5389" max="5390" width="11.140625" customWidth="1"/>
    <col min="5391" max="5391" width="12.28515625" customWidth="1"/>
    <col min="5392" max="5392" width="11" customWidth="1"/>
    <col min="5393" max="5393" width="10.7109375" customWidth="1"/>
    <col min="5394" max="5394" width="11" customWidth="1"/>
    <col min="5395" max="5395" width="12.140625" customWidth="1"/>
    <col min="5396" max="5397" width="0" hidden="1" customWidth="1"/>
    <col min="5398" max="5398" width="15.7109375" customWidth="1"/>
    <col min="5634" max="5634" width="27.85546875" customWidth="1"/>
    <col min="5635" max="5635" width="11" customWidth="1"/>
    <col min="5636" max="5636" width="10.5703125" customWidth="1"/>
    <col min="5637" max="5638" width="10.7109375" customWidth="1"/>
    <col min="5639" max="5640" width="11.28515625" customWidth="1"/>
    <col min="5641" max="5641" width="10.7109375" customWidth="1"/>
    <col min="5642" max="5643" width="11.5703125" customWidth="1"/>
    <col min="5644" max="5644" width="10.7109375" customWidth="1"/>
    <col min="5645" max="5646" width="11.140625" customWidth="1"/>
    <col min="5647" max="5647" width="12.28515625" customWidth="1"/>
    <col min="5648" max="5648" width="11" customWidth="1"/>
    <col min="5649" max="5649" width="10.7109375" customWidth="1"/>
    <col min="5650" max="5650" width="11" customWidth="1"/>
    <col min="5651" max="5651" width="12.140625" customWidth="1"/>
    <col min="5652" max="5653" width="0" hidden="1" customWidth="1"/>
    <col min="5654" max="5654" width="15.7109375" customWidth="1"/>
    <col min="5890" max="5890" width="27.85546875" customWidth="1"/>
    <col min="5891" max="5891" width="11" customWidth="1"/>
    <col min="5892" max="5892" width="10.5703125" customWidth="1"/>
    <col min="5893" max="5894" width="10.7109375" customWidth="1"/>
    <col min="5895" max="5896" width="11.28515625" customWidth="1"/>
    <col min="5897" max="5897" width="10.7109375" customWidth="1"/>
    <col min="5898" max="5899" width="11.5703125" customWidth="1"/>
    <col min="5900" max="5900" width="10.7109375" customWidth="1"/>
    <col min="5901" max="5902" width="11.140625" customWidth="1"/>
    <col min="5903" max="5903" width="12.28515625" customWidth="1"/>
    <col min="5904" max="5904" width="11" customWidth="1"/>
    <col min="5905" max="5905" width="10.7109375" customWidth="1"/>
    <col min="5906" max="5906" width="11" customWidth="1"/>
    <col min="5907" max="5907" width="12.140625" customWidth="1"/>
    <col min="5908" max="5909" width="0" hidden="1" customWidth="1"/>
    <col min="5910" max="5910" width="15.7109375" customWidth="1"/>
    <col min="6146" max="6146" width="27.85546875" customWidth="1"/>
    <col min="6147" max="6147" width="11" customWidth="1"/>
    <col min="6148" max="6148" width="10.5703125" customWidth="1"/>
    <col min="6149" max="6150" width="10.7109375" customWidth="1"/>
    <col min="6151" max="6152" width="11.28515625" customWidth="1"/>
    <col min="6153" max="6153" width="10.7109375" customWidth="1"/>
    <col min="6154" max="6155" width="11.5703125" customWidth="1"/>
    <col min="6156" max="6156" width="10.7109375" customWidth="1"/>
    <col min="6157" max="6158" width="11.140625" customWidth="1"/>
    <col min="6159" max="6159" width="12.28515625" customWidth="1"/>
    <col min="6160" max="6160" width="11" customWidth="1"/>
    <col min="6161" max="6161" width="10.7109375" customWidth="1"/>
    <col min="6162" max="6162" width="11" customWidth="1"/>
    <col min="6163" max="6163" width="12.140625" customWidth="1"/>
    <col min="6164" max="6165" width="0" hidden="1" customWidth="1"/>
    <col min="6166" max="6166" width="15.7109375" customWidth="1"/>
    <col min="6402" max="6402" width="27.85546875" customWidth="1"/>
    <col min="6403" max="6403" width="11" customWidth="1"/>
    <col min="6404" max="6404" width="10.5703125" customWidth="1"/>
    <col min="6405" max="6406" width="10.7109375" customWidth="1"/>
    <col min="6407" max="6408" width="11.28515625" customWidth="1"/>
    <col min="6409" max="6409" width="10.7109375" customWidth="1"/>
    <col min="6410" max="6411" width="11.5703125" customWidth="1"/>
    <col min="6412" max="6412" width="10.7109375" customWidth="1"/>
    <col min="6413" max="6414" width="11.140625" customWidth="1"/>
    <col min="6415" max="6415" width="12.28515625" customWidth="1"/>
    <col min="6416" max="6416" width="11" customWidth="1"/>
    <col min="6417" max="6417" width="10.7109375" customWidth="1"/>
    <col min="6418" max="6418" width="11" customWidth="1"/>
    <col min="6419" max="6419" width="12.140625" customWidth="1"/>
    <col min="6420" max="6421" width="0" hidden="1" customWidth="1"/>
    <col min="6422" max="6422" width="15.7109375" customWidth="1"/>
    <col min="6658" max="6658" width="27.85546875" customWidth="1"/>
    <col min="6659" max="6659" width="11" customWidth="1"/>
    <col min="6660" max="6660" width="10.5703125" customWidth="1"/>
    <col min="6661" max="6662" width="10.7109375" customWidth="1"/>
    <col min="6663" max="6664" width="11.28515625" customWidth="1"/>
    <col min="6665" max="6665" width="10.7109375" customWidth="1"/>
    <col min="6666" max="6667" width="11.5703125" customWidth="1"/>
    <col min="6668" max="6668" width="10.7109375" customWidth="1"/>
    <col min="6669" max="6670" width="11.140625" customWidth="1"/>
    <col min="6671" max="6671" width="12.28515625" customWidth="1"/>
    <col min="6672" max="6672" width="11" customWidth="1"/>
    <col min="6673" max="6673" width="10.7109375" customWidth="1"/>
    <col min="6674" max="6674" width="11" customWidth="1"/>
    <col min="6675" max="6675" width="12.140625" customWidth="1"/>
    <col min="6676" max="6677" width="0" hidden="1" customWidth="1"/>
    <col min="6678" max="6678" width="15.7109375" customWidth="1"/>
    <col min="6914" max="6914" width="27.85546875" customWidth="1"/>
    <col min="6915" max="6915" width="11" customWidth="1"/>
    <col min="6916" max="6916" width="10.5703125" customWidth="1"/>
    <col min="6917" max="6918" width="10.7109375" customWidth="1"/>
    <col min="6919" max="6920" width="11.28515625" customWidth="1"/>
    <col min="6921" max="6921" width="10.7109375" customWidth="1"/>
    <col min="6922" max="6923" width="11.5703125" customWidth="1"/>
    <col min="6924" max="6924" width="10.7109375" customWidth="1"/>
    <col min="6925" max="6926" width="11.140625" customWidth="1"/>
    <col min="6927" max="6927" width="12.28515625" customWidth="1"/>
    <col min="6928" max="6928" width="11" customWidth="1"/>
    <col min="6929" max="6929" width="10.7109375" customWidth="1"/>
    <col min="6930" max="6930" width="11" customWidth="1"/>
    <col min="6931" max="6931" width="12.140625" customWidth="1"/>
    <col min="6932" max="6933" width="0" hidden="1" customWidth="1"/>
    <col min="6934" max="6934" width="15.7109375" customWidth="1"/>
    <col min="7170" max="7170" width="27.85546875" customWidth="1"/>
    <col min="7171" max="7171" width="11" customWidth="1"/>
    <col min="7172" max="7172" width="10.5703125" customWidth="1"/>
    <col min="7173" max="7174" width="10.7109375" customWidth="1"/>
    <col min="7175" max="7176" width="11.28515625" customWidth="1"/>
    <col min="7177" max="7177" width="10.7109375" customWidth="1"/>
    <col min="7178" max="7179" width="11.5703125" customWidth="1"/>
    <col min="7180" max="7180" width="10.7109375" customWidth="1"/>
    <col min="7181" max="7182" width="11.140625" customWidth="1"/>
    <col min="7183" max="7183" width="12.28515625" customWidth="1"/>
    <col min="7184" max="7184" width="11" customWidth="1"/>
    <col min="7185" max="7185" width="10.7109375" customWidth="1"/>
    <col min="7186" max="7186" width="11" customWidth="1"/>
    <col min="7187" max="7187" width="12.140625" customWidth="1"/>
    <col min="7188" max="7189" width="0" hidden="1" customWidth="1"/>
    <col min="7190" max="7190" width="15.7109375" customWidth="1"/>
    <col min="7426" max="7426" width="27.85546875" customWidth="1"/>
    <col min="7427" max="7427" width="11" customWidth="1"/>
    <col min="7428" max="7428" width="10.5703125" customWidth="1"/>
    <col min="7429" max="7430" width="10.7109375" customWidth="1"/>
    <col min="7431" max="7432" width="11.28515625" customWidth="1"/>
    <col min="7433" max="7433" width="10.7109375" customWidth="1"/>
    <col min="7434" max="7435" width="11.5703125" customWidth="1"/>
    <col min="7436" max="7436" width="10.7109375" customWidth="1"/>
    <col min="7437" max="7438" width="11.140625" customWidth="1"/>
    <col min="7439" max="7439" width="12.28515625" customWidth="1"/>
    <col min="7440" max="7440" width="11" customWidth="1"/>
    <col min="7441" max="7441" width="10.7109375" customWidth="1"/>
    <col min="7442" max="7442" width="11" customWidth="1"/>
    <col min="7443" max="7443" width="12.140625" customWidth="1"/>
    <col min="7444" max="7445" width="0" hidden="1" customWidth="1"/>
    <col min="7446" max="7446" width="15.7109375" customWidth="1"/>
    <col min="7682" max="7682" width="27.85546875" customWidth="1"/>
    <col min="7683" max="7683" width="11" customWidth="1"/>
    <col min="7684" max="7684" width="10.5703125" customWidth="1"/>
    <col min="7685" max="7686" width="10.7109375" customWidth="1"/>
    <col min="7687" max="7688" width="11.28515625" customWidth="1"/>
    <col min="7689" max="7689" width="10.7109375" customWidth="1"/>
    <col min="7690" max="7691" width="11.5703125" customWidth="1"/>
    <col min="7692" max="7692" width="10.7109375" customWidth="1"/>
    <col min="7693" max="7694" width="11.140625" customWidth="1"/>
    <col min="7695" max="7695" width="12.28515625" customWidth="1"/>
    <col min="7696" max="7696" width="11" customWidth="1"/>
    <col min="7697" max="7697" width="10.7109375" customWidth="1"/>
    <col min="7698" max="7698" width="11" customWidth="1"/>
    <col min="7699" max="7699" width="12.140625" customWidth="1"/>
    <col min="7700" max="7701" width="0" hidden="1" customWidth="1"/>
    <col min="7702" max="7702" width="15.7109375" customWidth="1"/>
    <col min="7938" max="7938" width="27.85546875" customWidth="1"/>
    <col min="7939" max="7939" width="11" customWidth="1"/>
    <col min="7940" max="7940" width="10.5703125" customWidth="1"/>
    <col min="7941" max="7942" width="10.7109375" customWidth="1"/>
    <col min="7943" max="7944" width="11.28515625" customWidth="1"/>
    <col min="7945" max="7945" width="10.7109375" customWidth="1"/>
    <col min="7946" max="7947" width="11.5703125" customWidth="1"/>
    <col min="7948" max="7948" width="10.7109375" customWidth="1"/>
    <col min="7949" max="7950" width="11.140625" customWidth="1"/>
    <col min="7951" max="7951" width="12.28515625" customWidth="1"/>
    <col min="7952" max="7952" width="11" customWidth="1"/>
    <col min="7953" max="7953" width="10.7109375" customWidth="1"/>
    <col min="7954" max="7954" width="11" customWidth="1"/>
    <col min="7955" max="7955" width="12.140625" customWidth="1"/>
    <col min="7956" max="7957" width="0" hidden="1" customWidth="1"/>
    <col min="7958" max="7958" width="15.7109375" customWidth="1"/>
    <col min="8194" max="8194" width="27.85546875" customWidth="1"/>
    <col min="8195" max="8195" width="11" customWidth="1"/>
    <col min="8196" max="8196" width="10.5703125" customWidth="1"/>
    <col min="8197" max="8198" width="10.7109375" customWidth="1"/>
    <col min="8199" max="8200" width="11.28515625" customWidth="1"/>
    <col min="8201" max="8201" width="10.7109375" customWidth="1"/>
    <col min="8202" max="8203" width="11.5703125" customWidth="1"/>
    <col min="8204" max="8204" width="10.7109375" customWidth="1"/>
    <col min="8205" max="8206" width="11.140625" customWidth="1"/>
    <col min="8207" max="8207" width="12.28515625" customWidth="1"/>
    <col min="8208" max="8208" width="11" customWidth="1"/>
    <col min="8209" max="8209" width="10.7109375" customWidth="1"/>
    <col min="8210" max="8210" width="11" customWidth="1"/>
    <col min="8211" max="8211" width="12.140625" customWidth="1"/>
    <col min="8212" max="8213" width="0" hidden="1" customWidth="1"/>
    <col min="8214" max="8214" width="15.7109375" customWidth="1"/>
    <col min="8450" max="8450" width="27.85546875" customWidth="1"/>
    <col min="8451" max="8451" width="11" customWidth="1"/>
    <col min="8452" max="8452" width="10.5703125" customWidth="1"/>
    <col min="8453" max="8454" width="10.7109375" customWidth="1"/>
    <col min="8455" max="8456" width="11.28515625" customWidth="1"/>
    <col min="8457" max="8457" width="10.7109375" customWidth="1"/>
    <col min="8458" max="8459" width="11.5703125" customWidth="1"/>
    <col min="8460" max="8460" width="10.7109375" customWidth="1"/>
    <col min="8461" max="8462" width="11.140625" customWidth="1"/>
    <col min="8463" max="8463" width="12.28515625" customWidth="1"/>
    <col min="8464" max="8464" width="11" customWidth="1"/>
    <col min="8465" max="8465" width="10.7109375" customWidth="1"/>
    <col min="8466" max="8466" width="11" customWidth="1"/>
    <col min="8467" max="8467" width="12.140625" customWidth="1"/>
    <col min="8468" max="8469" width="0" hidden="1" customWidth="1"/>
    <col min="8470" max="8470" width="15.7109375" customWidth="1"/>
    <col min="8706" max="8706" width="27.85546875" customWidth="1"/>
    <col min="8707" max="8707" width="11" customWidth="1"/>
    <col min="8708" max="8708" width="10.5703125" customWidth="1"/>
    <col min="8709" max="8710" width="10.7109375" customWidth="1"/>
    <col min="8711" max="8712" width="11.28515625" customWidth="1"/>
    <col min="8713" max="8713" width="10.7109375" customWidth="1"/>
    <col min="8714" max="8715" width="11.5703125" customWidth="1"/>
    <col min="8716" max="8716" width="10.7109375" customWidth="1"/>
    <col min="8717" max="8718" width="11.140625" customWidth="1"/>
    <col min="8719" max="8719" width="12.28515625" customWidth="1"/>
    <col min="8720" max="8720" width="11" customWidth="1"/>
    <col min="8721" max="8721" width="10.7109375" customWidth="1"/>
    <col min="8722" max="8722" width="11" customWidth="1"/>
    <col min="8723" max="8723" width="12.140625" customWidth="1"/>
    <col min="8724" max="8725" width="0" hidden="1" customWidth="1"/>
    <col min="8726" max="8726" width="15.7109375" customWidth="1"/>
    <col min="8962" max="8962" width="27.85546875" customWidth="1"/>
    <col min="8963" max="8963" width="11" customWidth="1"/>
    <col min="8964" max="8964" width="10.5703125" customWidth="1"/>
    <col min="8965" max="8966" width="10.7109375" customWidth="1"/>
    <col min="8967" max="8968" width="11.28515625" customWidth="1"/>
    <col min="8969" max="8969" width="10.7109375" customWidth="1"/>
    <col min="8970" max="8971" width="11.5703125" customWidth="1"/>
    <col min="8972" max="8972" width="10.7109375" customWidth="1"/>
    <col min="8973" max="8974" width="11.140625" customWidth="1"/>
    <col min="8975" max="8975" width="12.28515625" customWidth="1"/>
    <col min="8976" max="8976" width="11" customWidth="1"/>
    <col min="8977" max="8977" width="10.7109375" customWidth="1"/>
    <col min="8978" max="8978" width="11" customWidth="1"/>
    <col min="8979" max="8979" width="12.140625" customWidth="1"/>
    <col min="8980" max="8981" width="0" hidden="1" customWidth="1"/>
    <col min="8982" max="8982" width="15.7109375" customWidth="1"/>
    <col min="9218" max="9218" width="27.85546875" customWidth="1"/>
    <col min="9219" max="9219" width="11" customWidth="1"/>
    <col min="9220" max="9220" width="10.5703125" customWidth="1"/>
    <col min="9221" max="9222" width="10.7109375" customWidth="1"/>
    <col min="9223" max="9224" width="11.28515625" customWidth="1"/>
    <col min="9225" max="9225" width="10.7109375" customWidth="1"/>
    <col min="9226" max="9227" width="11.5703125" customWidth="1"/>
    <col min="9228" max="9228" width="10.7109375" customWidth="1"/>
    <col min="9229" max="9230" width="11.140625" customWidth="1"/>
    <col min="9231" max="9231" width="12.28515625" customWidth="1"/>
    <col min="9232" max="9232" width="11" customWidth="1"/>
    <col min="9233" max="9233" width="10.7109375" customWidth="1"/>
    <col min="9234" max="9234" width="11" customWidth="1"/>
    <col min="9235" max="9235" width="12.140625" customWidth="1"/>
    <col min="9236" max="9237" width="0" hidden="1" customWidth="1"/>
    <col min="9238" max="9238" width="15.7109375" customWidth="1"/>
    <col min="9474" max="9474" width="27.85546875" customWidth="1"/>
    <col min="9475" max="9475" width="11" customWidth="1"/>
    <col min="9476" max="9476" width="10.5703125" customWidth="1"/>
    <col min="9477" max="9478" width="10.7109375" customWidth="1"/>
    <col min="9479" max="9480" width="11.28515625" customWidth="1"/>
    <col min="9481" max="9481" width="10.7109375" customWidth="1"/>
    <col min="9482" max="9483" width="11.5703125" customWidth="1"/>
    <col min="9484" max="9484" width="10.7109375" customWidth="1"/>
    <col min="9485" max="9486" width="11.140625" customWidth="1"/>
    <col min="9487" max="9487" width="12.28515625" customWidth="1"/>
    <col min="9488" max="9488" width="11" customWidth="1"/>
    <col min="9489" max="9489" width="10.7109375" customWidth="1"/>
    <col min="9490" max="9490" width="11" customWidth="1"/>
    <col min="9491" max="9491" width="12.140625" customWidth="1"/>
    <col min="9492" max="9493" width="0" hidden="1" customWidth="1"/>
    <col min="9494" max="9494" width="15.7109375" customWidth="1"/>
    <col min="9730" max="9730" width="27.85546875" customWidth="1"/>
    <col min="9731" max="9731" width="11" customWidth="1"/>
    <col min="9732" max="9732" width="10.5703125" customWidth="1"/>
    <col min="9733" max="9734" width="10.7109375" customWidth="1"/>
    <col min="9735" max="9736" width="11.28515625" customWidth="1"/>
    <col min="9737" max="9737" width="10.7109375" customWidth="1"/>
    <col min="9738" max="9739" width="11.5703125" customWidth="1"/>
    <col min="9740" max="9740" width="10.7109375" customWidth="1"/>
    <col min="9741" max="9742" width="11.140625" customWidth="1"/>
    <col min="9743" max="9743" width="12.28515625" customWidth="1"/>
    <col min="9744" max="9744" width="11" customWidth="1"/>
    <col min="9745" max="9745" width="10.7109375" customWidth="1"/>
    <col min="9746" max="9746" width="11" customWidth="1"/>
    <col min="9747" max="9747" width="12.140625" customWidth="1"/>
    <col min="9748" max="9749" width="0" hidden="1" customWidth="1"/>
    <col min="9750" max="9750" width="15.7109375" customWidth="1"/>
    <col min="9986" max="9986" width="27.85546875" customWidth="1"/>
    <col min="9987" max="9987" width="11" customWidth="1"/>
    <col min="9988" max="9988" width="10.5703125" customWidth="1"/>
    <col min="9989" max="9990" width="10.7109375" customWidth="1"/>
    <col min="9991" max="9992" width="11.28515625" customWidth="1"/>
    <col min="9993" max="9993" width="10.7109375" customWidth="1"/>
    <col min="9994" max="9995" width="11.5703125" customWidth="1"/>
    <col min="9996" max="9996" width="10.7109375" customWidth="1"/>
    <col min="9997" max="9998" width="11.140625" customWidth="1"/>
    <col min="9999" max="9999" width="12.28515625" customWidth="1"/>
    <col min="10000" max="10000" width="11" customWidth="1"/>
    <col min="10001" max="10001" width="10.7109375" customWidth="1"/>
    <col min="10002" max="10002" width="11" customWidth="1"/>
    <col min="10003" max="10003" width="12.140625" customWidth="1"/>
    <col min="10004" max="10005" width="0" hidden="1" customWidth="1"/>
    <col min="10006" max="10006" width="15.7109375" customWidth="1"/>
    <col min="10242" max="10242" width="27.85546875" customWidth="1"/>
    <col min="10243" max="10243" width="11" customWidth="1"/>
    <col min="10244" max="10244" width="10.5703125" customWidth="1"/>
    <col min="10245" max="10246" width="10.7109375" customWidth="1"/>
    <col min="10247" max="10248" width="11.28515625" customWidth="1"/>
    <col min="10249" max="10249" width="10.7109375" customWidth="1"/>
    <col min="10250" max="10251" width="11.5703125" customWidth="1"/>
    <col min="10252" max="10252" width="10.7109375" customWidth="1"/>
    <col min="10253" max="10254" width="11.140625" customWidth="1"/>
    <col min="10255" max="10255" width="12.28515625" customWidth="1"/>
    <col min="10256" max="10256" width="11" customWidth="1"/>
    <col min="10257" max="10257" width="10.7109375" customWidth="1"/>
    <col min="10258" max="10258" width="11" customWidth="1"/>
    <col min="10259" max="10259" width="12.140625" customWidth="1"/>
    <col min="10260" max="10261" width="0" hidden="1" customWidth="1"/>
    <col min="10262" max="10262" width="15.7109375" customWidth="1"/>
    <col min="10498" max="10498" width="27.85546875" customWidth="1"/>
    <col min="10499" max="10499" width="11" customWidth="1"/>
    <col min="10500" max="10500" width="10.5703125" customWidth="1"/>
    <col min="10501" max="10502" width="10.7109375" customWidth="1"/>
    <col min="10503" max="10504" width="11.28515625" customWidth="1"/>
    <col min="10505" max="10505" width="10.7109375" customWidth="1"/>
    <col min="10506" max="10507" width="11.5703125" customWidth="1"/>
    <col min="10508" max="10508" width="10.7109375" customWidth="1"/>
    <col min="10509" max="10510" width="11.140625" customWidth="1"/>
    <col min="10511" max="10511" width="12.28515625" customWidth="1"/>
    <col min="10512" max="10512" width="11" customWidth="1"/>
    <col min="10513" max="10513" width="10.7109375" customWidth="1"/>
    <col min="10514" max="10514" width="11" customWidth="1"/>
    <col min="10515" max="10515" width="12.140625" customWidth="1"/>
    <col min="10516" max="10517" width="0" hidden="1" customWidth="1"/>
    <col min="10518" max="10518" width="15.7109375" customWidth="1"/>
    <col min="10754" max="10754" width="27.85546875" customWidth="1"/>
    <col min="10755" max="10755" width="11" customWidth="1"/>
    <col min="10756" max="10756" width="10.5703125" customWidth="1"/>
    <col min="10757" max="10758" width="10.7109375" customWidth="1"/>
    <col min="10759" max="10760" width="11.28515625" customWidth="1"/>
    <col min="10761" max="10761" width="10.7109375" customWidth="1"/>
    <col min="10762" max="10763" width="11.5703125" customWidth="1"/>
    <col min="10764" max="10764" width="10.7109375" customWidth="1"/>
    <col min="10765" max="10766" width="11.140625" customWidth="1"/>
    <col min="10767" max="10767" width="12.28515625" customWidth="1"/>
    <col min="10768" max="10768" width="11" customWidth="1"/>
    <col min="10769" max="10769" width="10.7109375" customWidth="1"/>
    <col min="10770" max="10770" width="11" customWidth="1"/>
    <col min="10771" max="10771" width="12.140625" customWidth="1"/>
    <col min="10772" max="10773" width="0" hidden="1" customWidth="1"/>
    <col min="10774" max="10774" width="15.7109375" customWidth="1"/>
    <col min="11010" max="11010" width="27.85546875" customWidth="1"/>
    <col min="11011" max="11011" width="11" customWidth="1"/>
    <col min="11012" max="11012" width="10.5703125" customWidth="1"/>
    <col min="11013" max="11014" width="10.7109375" customWidth="1"/>
    <col min="11015" max="11016" width="11.28515625" customWidth="1"/>
    <col min="11017" max="11017" width="10.7109375" customWidth="1"/>
    <col min="11018" max="11019" width="11.5703125" customWidth="1"/>
    <col min="11020" max="11020" width="10.7109375" customWidth="1"/>
    <col min="11021" max="11022" width="11.140625" customWidth="1"/>
    <col min="11023" max="11023" width="12.28515625" customWidth="1"/>
    <col min="11024" max="11024" width="11" customWidth="1"/>
    <col min="11025" max="11025" width="10.7109375" customWidth="1"/>
    <col min="11026" max="11026" width="11" customWidth="1"/>
    <col min="11027" max="11027" width="12.140625" customWidth="1"/>
    <col min="11028" max="11029" width="0" hidden="1" customWidth="1"/>
    <col min="11030" max="11030" width="15.7109375" customWidth="1"/>
    <col min="11266" max="11266" width="27.85546875" customWidth="1"/>
    <col min="11267" max="11267" width="11" customWidth="1"/>
    <col min="11268" max="11268" width="10.5703125" customWidth="1"/>
    <col min="11269" max="11270" width="10.7109375" customWidth="1"/>
    <col min="11271" max="11272" width="11.28515625" customWidth="1"/>
    <col min="11273" max="11273" width="10.7109375" customWidth="1"/>
    <col min="11274" max="11275" width="11.5703125" customWidth="1"/>
    <col min="11276" max="11276" width="10.7109375" customWidth="1"/>
    <col min="11277" max="11278" width="11.140625" customWidth="1"/>
    <col min="11279" max="11279" width="12.28515625" customWidth="1"/>
    <col min="11280" max="11280" width="11" customWidth="1"/>
    <col min="11281" max="11281" width="10.7109375" customWidth="1"/>
    <col min="11282" max="11282" width="11" customWidth="1"/>
    <col min="11283" max="11283" width="12.140625" customWidth="1"/>
    <col min="11284" max="11285" width="0" hidden="1" customWidth="1"/>
    <col min="11286" max="11286" width="15.7109375" customWidth="1"/>
    <col min="11522" max="11522" width="27.85546875" customWidth="1"/>
    <col min="11523" max="11523" width="11" customWidth="1"/>
    <col min="11524" max="11524" width="10.5703125" customWidth="1"/>
    <col min="11525" max="11526" width="10.7109375" customWidth="1"/>
    <col min="11527" max="11528" width="11.28515625" customWidth="1"/>
    <col min="11529" max="11529" width="10.7109375" customWidth="1"/>
    <col min="11530" max="11531" width="11.5703125" customWidth="1"/>
    <col min="11532" max="11532" width="10.7109375" customWidth="1"/>
    <col min="11533" max="11534" width="11.140625" customWidth="1"/>
    <col min="11535" max="11535" width="12.28515625" customWidth="1"/>
    <col min="11536" max="11536" width="11" customWidth="1"/>
    <col min="11537" max="11537" width="10.7109375" customWidth="1"/>
    <col min="11538" max="11538" width="11" customWidth="1"/>
    <col min="11539" max="11539" width="12.140625" customWidth="1"/>
    <col min="11540" max="11541" width="0" hidden="1" customWidth="1"/>
    <col min="11542" max="11542" width="15.7109375" customWidth="1"/>
    <col min="11778" max="11778" width="27.85546875" customWidth="1"/>
    <col min="11779" max="11779" width="11" customWidth="1"/>
    <col min="11780" max="11780" width="10.5703125" customWidth="1"/>
    <col min="11781" max="11782" width="10.7109375" customWidth="1"/>
    <col min="11783" max="11784" width="11.28515625" customWidth="1"/>
    <col min="11785" max="11785" width="10.7109375" customWidth="1"/>
    <col min="11786" max="11787" width="11.5703125" customWidth="1"/>
    <col min="11788" max="11788" width="10.7109375" customWidth="1"/>
    <col min="11789" max="11790" width="11.140625" customWidth="1"/>
    <col min="11791" max="11791" width="12.28515625" customWidth="1"/>
    <col min="11792" max="11792" width="11" customWidth="1"/>
    <col min="11793" max="11793" width="10.7109375" customWidth="1"/>
    <col min="11794" max="11794" width="11" customWidth="1"/>
    <col min="11795" max="11795" width="12.140625" customWidth="1"/>
    <col min="11796" max="11797" width="0" hidden="1" customWidth="1"/>
    <col min="11798" max="11798" width="15.7109375" customWidth="1"/>
    <col min="12034" max="12034" width="27.85546875" customWidth="1"/>
    <col min="12035" max="12035" width="11" customWidth="1"/>
    <col min="12036" max="12036" width="10.5703125" customWidth="1"/>
    <col min="12037" max="12038" width="10.7109375" customWidth="1"/>
    <col min="12039" max="12040" width="11.28515625" customWidth="1"/>
    <col min="12041" max="12041" width="10.7109375" customWidth="1"/>
    <col min="12042" max="12043" width="11.5703125" customWidth="1"/>
    <col min="12044" max="12044" width="10.7109375" customWidth="1"/>
    <col min="12045" max="12046" width="11.140625" customWidth="1"/>
    <col min="12047" max="12047" width="12.28515625" customWidth="1"/>
    <col min="12048" max="12048" width="11" customWidth="1"/>
    <col min="12049" max="12049" width="10.7109375" customWidth="1"/>
    <col min="12050" max="12050" width="11" customWidth="1"/>
    <col min="12051" max="12051" width="12.140625" customWidth="1"/>
    <col min="12052" max="12053" width="0" hidden="1" customWidth="1"/>
    <col min="12054" max="12054" width="15.7109375" customWidth="1"/>
    <col min="12290" max="12290" width="27.85546875" customWidth="1"/>
    <col min="12291" max="12291" width="11" customWidth="1"/>
    <col min="12292" max="12292" width="10.5703125" customWidth="1"/>
    <col min="12293" max="12294" width="10.7109375" customWidth="1"/>
    <col min="12295" max="12296" width="11.28515625" customWidth="1"/>
    <col min="12297" max="12297" width="10.7109375" customWidth="1"/>
    <col min="12298" max="12299" width="11.5703125" customWidth="1"/>
    <col min="12300" max="12300" width="10.7109375" customWidth="1"/>
    <col min="12301" max="12302" width="11.140625" customWidth="1"/>
    <col min="12303" max="12303" width="12.28515625" customWidth="1"/>
    <col min="12304" max="12304" width="11" customWidth="1"/>
    <col min="12305" max="12305" width="10.7109375" customWidth="1"/>
    <col min="12306" max="12306" width="11" customWidth="1"/>
    <col min="12307" max="12307" width="12.140625" customWidth="1"/>
    <col min="12308" max="12309" width="0" hidden="1" customWidth="1"/>
    <col min="12310" max="12310" width="15.7109375" customWidth="1"/>
    <col min="12546" max="12546" width="27.85546875" customWidth="1"/>
    <col min="12547" max="12547" width="11" customWidth="1"/>
    <col min="12548" max="12548" width="10.5703125" customWidth="1"/>
    <col min="12549" max="12550" width="10.7109375" customWidth="1"/>
    <col min="12551" max="12552" width="11.28515625" customWidth="1"/>
    <col min="12553" max="12553" width="10.7109375" customWidth="1"/>
    <col min="12554" max="12555" width="11.5703125" customWidth="1"/>
    <col min="12556" max="12556" width="10.7109375" customWidth="1"/>
    <col min="12557" max="12558" width="11.140625" customWidth="1"/>
    <col min="12559" max="12559" width="12.28515625" customWidth="1"/>
    <col min="12560" max="12560" width="11" customWidth="1"/>
    <col min="12561" max="12561" width="10.7109375" customWidth="1"/>
    <col min="12562" max="12562" width="11" customWidth="1"/>
    <col min="12563" max="12563" width="12.140625" customWidth="1"/>
    <col min="12564" max="12565" width="0" hidden="1" customWidth="1"/>
    <col min="12566" max="12566" width="15.7109375" customWidth="1"/>
    <col min="12802" max="12802" width="27.85546875" customWidth="1"/>
    <col min="12803" max="12803" width="11" customWidth="1"/>
    <col min="12804" max="12804" width="10.5703125" customWidth="1"/>
    <col min="12805" max="12806" width="10.7109375" customWidth="1"/>
    <col min="12807" max="12808" width="11.28515625" customWidth="1"/>
    <col min="12809" max="12809" width="10.7109375" customWidth="1"/>
    <col min="12810" max="12811" width="11.5703125" customWidth="1"/>
    <col min="12812" max="12812" width="10.7109375" customWidth="1"/>
    <col min="12813" max="12814" width="11.140625" customWidth="1"/>
    <col min="12815" max="12815" width="12.28515625" customWidth="1"/>
    <col min="12816" max="12816" width="11" customWidth="1"/>
    <col min="12817" max="12817" width="10.7109375" customWidth="1"/>
    <col min="12818" max="12818" width="11" customWidth="1"/>
    <col min="12819" max="12819" width="12.140625" customWidth="1"/>
    <col min="12820" max="12821" width="0" hidden="1" customWidth="1"/>
    <col min="12822" max="12822" width="15.7109375" customWidth="1"/>
    <col min="13058" max="13058" width="27.85546875" customWidth="1"/>
    <col min="13059" max="13059" width="11" customWidth="1"/>
    <col min="13060" max="13060" width="10.5703125" customWidth="1"/>
    <col min="13061" max="13062" width="10.7109375" customWidth="1"/>
    <col min="13063" max="13064" width="11.28515625" customWidth="1"/>
    <col min="13065" max="13065" width="10.7109375" customWidth="1"/>
    <col min="13066" max="13067" width="11.5703125" customWidth="1"/>
    <col min="13068" max="13068" width="10.7109375" customWidth="1"/>
    <col min="13069" max="13070" width="11.140625" customWidth="1"/>
    <col min="13071" max="13071" width="12.28515625" customWidth="1"/>
    <col min="13072" max="13072" width="11" customWidth="1"/>
    <col min="13073" max="13073" width="10.7109375" customWidth="1"/>
    <col min="13074" max="13074" width="11" customWidth="1"/>
    <col min="13075" max="13075" width="12.140625" customWidth="1"/>
    <col min="13076" max="13077" width="0" hidden="1" customWidth="1"/>
    <col min="13078" max="13078" width="15.7109375" customWidth="1"/>
    <col min="13314" max="13314" width="27.85546875" customWidth="1"/>
    <col min="13315" max="13315" width="11" customWidth="1"/>
    <col min="13316" max="13316" width="10.5703125" customWidth="1"/>
    <col min="13317" max="13318" width="10.7109375" customWidth="1"/>
    <col min="13319" max="13320" width="11.28515625" customWidth="1"/>
    <col min="13321" max="13321" width="10.7109375" customWidth="1"/>
    <col min="13322" max="13323" width="11.5703125" customWidth="1"/>
    <col min="13324" max="13324" width="10.7109375" customWidth="1"/>
    <col min="13325" max="13326" width="11.140625" customWidth="1"/>
    <col min="13327" max="13327" width="12.28515625" customWidth="1"/>
    <col min="13328" max="13328" width="11" customWidth="1"/>
    <col min="13329" max="13329" width="10.7109375" customWidth="1"/>
    <col min="13330" max="13330" width="11" customWidth="1"/>
    <col min="13331" max="13331" width="12.140625" customWidth="1"/>
    <col min="13332" max="13333" width="0" hidden="1" customWidth="1"/>
    <col min="13334" max="13334" width="15.7109375" customWidth="1"/>
    <col min="13570" max="13570" width="27.85546875" customWidth="1"/>
    <col min="13571" max="13571" width="11" customWidth="1"/>
    <col min="13572" max="13572" width="10.5703125" customWidth="1"/>
    <col min="13573" max="13574" width="10.7109375" customWidth="1"/>
    <col min="13575" max="13576" width="11.28515625" customWidth="1"/>
    <col min="13577" max="13577" width="10.7109375" customWidth="1"/>
    <col min="13578" max="13579" width="11.5703125" customWidth="1"/>
    <col min="13580" max="13580" width="10.7109375" customWidth="1"/>
    <col min="13581" max="13582" width="11.140625" customWidth="1"/>
    <col min="13583" max="13583" width="12.28515625" customWidth="1"/>
    <col min="13584" max="13584" width="11" customWidth="1"/>
    <col min="13585" max="13585" width="10.7109375" customWidth="1"/>
    <col min="13586" max="13586" width="11" customWidth="1"/>
    <col min="13587" max="13587" width="12.140625" customWidth="1"/>
    <col min="13588" max="13589" width="0" hidden="1" customWidth="1"/>
    <col min="13590" max="13590" width="15.7109375" customWidth="1"/>
    <col min="13826" max="13826" width="27.85546875" customWidth="1"/>
    <col min="13827" max="13827" width="11" customWidth="1"/>
    <col min="13828" max="13828" width="10.5703125" customWidth="1"/>
    <col min="13829" max="13830" width="10.7109375" customWidth="1"/>
    <col min="13831" max="13832" width="11.28515625" customWidth="1"/>
    <col min="13833" max="13833" width="10.7109375" customWidth="1"/>
    <col min="13834" max="13835" width="11.5703125" customWidth="1"/>
    <col min="13836" max="13836" width="10.7109375" customWidth="1"/>
    <col min="13837" max="13838" width="11.140625" customWidth="1"/>
    <col min="13839" max="13839" width="12.28515625" customWidth="1"/>
    <col min="13840" max="13840" width="11" customWidth="1"/>
    <col min="13841" max="13841" width="10.7109375" customWidth="1"/>
    <col min="13842" max="13842" width="11" customWidth="1"/>
    <col min="13843" max="13843" width="12.140625" customWidth="1"/>
    <col min="13844" max="13845" width="0" hidden="1" customWidth="1"/>
    <col min="13846" max="13846" width="15.7109375" customWidth="1"/>
    <col min="14082" max="14082" width="27.85546875" customWidth="1"/>
    <col min="14083" max="14083" width="11" customWidth="1"/>
    <col min="14084" max="14084" width="10.5703125" customWidth="1"/>
    <col min="14085" max="14086" width="10.7109375" customWidth="1"/>
    <col min="14087" max="14088" width="11.28515625" customWidth="1"/>
    <col min="14089" max="14089" width="10.7109375" customWidth="1"/>
    <col min="14090" max="14091" width="11.5703125" customWidth="1"/>
    <col min="14092" max="14092" width="10.7109375" customWidth="1"/>
    <col min="14093" max="14094" width="11.140625" customWidth="1"/>
    <col min="14095" max="14095" width="12.28515625" customWidth="1"/>
    <col min="14096" max="14096" width="11" customWidth="1"/>
    <col min="14097" max="14097" width="10.7109375" customWidth="1"/>
    <col min="14098" max="14098" width="11" customWidth="1"/>
    <col min="14099" max="14099" width="12.140625" customWidth="1"/>
    <col min="14100" max="14101" width="0" hidden="1" customWidth="1"/>
    <col min="14102" max="14102" width="15.7109375" customWidth="1"/>
    <col min="14338" max="14338" width="27.85546875" customWidth="1"/>
    <col min="14339" max="14339" width="11" customWidth="1"/>
    <col min="14340" max="14340" width="10.5703125" customWidth="1"/>
    <col min="14341" max="14342" width="10.7109375" customWidth="1"/>
    <col min="14343" max="14344" width="11.28515625" customWidth="1"/>
    <col min="14345" max="14345" width="10.7109375" customWidth="1"/>
    <col min="14346" max="14347" width="11.5703125" customWidth="1"/>
    <col min="14348" max="14348" width="10.7109375" customWidth="1"/>
    <col min="14349" max="14350" width="11.140625" customWidth="1"/>
    <col min="14351" max="14351" width="12.28515625" customWidth="1"/>
    <col min="14352" max="14352" width="11" customWidth="1"/>
    <col min="14353" max="14353" width="10.7109375" customWidth="1"/>
    <col min="14354" max="14354" width="11" customWidth="1"/>
    <col min="14355" max="14355" width="12.140625" customWidth="1"/>
    <col min="14356" max="14357" width="0" hidden="1" customWidth="1"/>
    <col min="14358" max="14358" width="15.7109375" customWidth="1"/>
    <col min="14594" max="14594" width="27.85546875" customWidth="1"/>
    <col min="14595" max="14595" width="11" customWidth="1"/>
    <col min="14596" max="14596" width="10.5703125" customWidth="1"/>
    <col min="14597" max="14598" width="10.7109375" customWidth="1"/>
    <col min="14599" max="14600" width="11.28515625" customWidth="1"/>
    <col min="14601" max="14601" width="10.7109375" customWidth="1"/>
    <col min="14602" max="14603" width="11.5703125" customWidth="1"/>
    <col min="14604" max="14604" width="10.7109375" customWidth="1"/>
    <col min="14605" max="14606" width="11.140625" customWidth="1"/>
    <col min="14607" max="14607" width="12.28515625" customWidth="1"/>
    <col min="14608" max="14608" width="11" customWidth="1"/>
    <col min="14609" max="14609" width="10.7109375" customWidth="1"/>
    <col min="14610" max="14610" width="11" customWidth="1"/>
    <col min="14611" max="14611" width="12.140625" customWidth="1"/>
    <col min="14612" max="14613" width="0" hidden="1" customWidth="1"/>
    <col min="14614" max="14614" width="15.7109375" customWidth="1"/>
    <col min="14850" max="14850" width="27.85546875" customWidth="1"/>
    <col min="14851" max="14851" width="11" customWidth="1"/>
    <col min="14852" max="14852" width="10.5703125" customWidth="1"/>
    <col min="14853" max="14854" width="10.7109375" customWidth="1"/>
    <col min="14855" max="14856" width="11.28515625" customWidth="1"/>
    <col min="14857" max="14857" width="10.7109375" customWidth="1"/>
    <col min="14858" max="14859" width="11.5703125" customWidth="1"/>
    <col min="14860" max="14860" width="10.7109375" customWidth="1"/>
    <col min="14861" max="14862" width="11.140625" customWidth="1"/>
    <col min="14863" max="14863" width="12.28515625" customWidth="1"/>
    <col min="14864" max="14864" width="11" customWidth="1"/>
    <col min="14865" max="14865" width="10.7109375" customWidth="1"/>
    <col min="14866" max="14866" width="11" customWidth="1"/>
    <col min="14867" max="14867" width="12.140625" customWidth="1"/>
    <col min="14868" max="14869" width="0" hidden="1" customWidth="1"/>
    <col min="14870" max="14870" width="15.7109375" customWidth="1"/>
    <col min="15106" max="15106" width="27.85546875" customWidth="1"/>
    <col min="15107" max="15107" width="11" customWidth="1"/>
    <col min="15108" max="15108" width="10.5703125" customWidth="1"/>
    <col min="15109" max="15110" width="10.7109375" customWidth="1"/>
    <col min="15111" max="15112" width="11.28515625" customWidth="1"/>
    <col min="15113" max="15113" width="10.7109375" customWidth="1"/>
    <col min="15114" max="15115" width="11.5703125" customWidth="1"/>
    <col min="15116" max="15116" width="10.7109375" customWidth="1"/>
    <col min="15117" max="15118" width="11.140625" customWidth="1"/>
    <col min="15119" max="15119" width="12.28515625" customWidth="1"/>
    <col min="15120" max="15120" width="11" customWidth="1"/>
    <col min="15121" max="15121" width="10.7109375" customWidth="1"/>
    <col min="15122" max="15122" width="11" customWidth="1"/>
    <col min="15123" max="15123" width="12.140625" customWidth="1"/>
    <col min="15124" max="15125" width="0" hidden="1" customWidth="1"/>
    <col min="15126" max="15126" width="15.7109375" customWidth="1"/>
    <col min="15362" max="15362" width="27.85546875" customWidth="1"/>
    <col min="15363" max="15363" width="11" customWidth="1"/>
    <col min="15364" max="15364" width="10.5703125" customWidth="1"/>
    <col min="15365" max="15366" width="10.7109375" customWidth="1"/>
    <col min="15367" max="15368" width="11.28515625" customWidth="1"/>
    <col min="15369" max="15369" width="10.7109375" customWidth="1"/>
    <col min="15370" max="15371" width="11.5703125" customWidth="1"/>
    <col min="15372" max="15372" width="10.7109375" customWidth="1"/>
    <col min="15373" max="15374" width="11.140625" customWidth="1"/>
    <col min="15375" max="15375" width="12.28515625" customWidth="1"/>
    <col min="15376" max="15376" width="11" customWidth="1"/>
    <col min="15377" max="15377" width="10.7109375" customWidth="1"/>
    <col min="15378" max="15378" width="11" customWidth="1"/>
    <col min="15379" max="15379" width="12.140625" customWidth="1"/>
    <col min="15380" max="15381" width="0" hidden="1" customWidth="1"/>
    <col min="15382" max="15382" width="15.7109375" customWidth="1"/>
    <col min="15618" max="15618" width="27.85546875" customWidth="1"/>
    <col min="15619" max="15619" width="11" customWidth="1"/>
    <col min="15620" max="15620" width="10.5703125" customWidth="1"/>
    <col min="15621" max="15622" width="10.7109375" customWidth="1"/>
    <col min="15623" max="15624" width="11.28515625" customWidth="1"/>
    <col min="15625" max="15625" width="10.7109375" customWidth="1"/>
    <col min="15626" max="15627" width="11.5703125" customWidth="1"/>
    <col min="15628" max="15628" width="10.7109375" customWidth="1"/>
    <col min="15629" max="15630" width="11.140625" customWidth="1"/>
    <col min="15631" max="15631" width="12.28515625" customWidth="1"/>
    <col min="15632" max="15632" width="11" customWidth="1"/>
    <col min="15633" max="15633" width="10.7109375" customWidth="1"/>
    <col min="15634" max="15634" width="11" customWidth="1"/>
    <col min="15635" max="15635" width="12.140625" customWidth="1"/>
    <col min="15636" max="15637" width="0" hidden="1" customWidth="1"/>
    <col min="15638" max="15638" width="15.7109375" customWidth="1"/>
    <col min="15874" max="15874" width="27.85546875" customWidth="1"/>
    <col min="15875" max="15875" width="11" customWidth="1"/>
    <col min="15876" max="15876" width="10.5703125" customWidth="1"/>
    <col min="15877" max="15878" width="10.7109375" customWidth="1"/>
    <col min="15879" max="15880" width="11.28515625" customWidth="1"/>
    <col min="15881" max="15881" width="10.7109375" customWidth="1"/>
    <col min="15882" max="15883" width="11.5703125" customWidth="1"/>
    <col min="15884" max="15884" width="10.7109375" customWidth="1"/>
    <col min="15885" max="15886" width="11.140625" customWidth="1"/>
    <col min="15887" max="15887" width="12.28515625" customWidth="1"/>
    <col min="15888" max="15888" width="11" customWidth="1"/>
    <col min="15889" max="15889" width="10.7109375" customWidth="1"/>
    <col min="15890" max="15890" width="11" customWidth="1"/>
    <col min="15891" max="15891" width="12.140625" customWidth="1"/>
    <col min="15892" max="15893" width="0" hidden="1" customWidth="1"/>
    <col min="15894" max="15894" width="15.7109375" customWidth="1"/>
    <col min="16130" max="16130" width="27.85546875" customWidth="1"/>
    <col min="16131" max="16131" width="11" customWidth="1"/>
    <col min="16132" max="16132" width="10.5703125" customWidth="1"/>
    <col min="16133" max="16134" width="10.7109375" customWidth="1"/>
    <col min="16135" max="16136" width="11.28515625" customWidth="1"/>
    <col min="16137" max="16137" width="10.7109375" customWidth="1"/>
    <col min="16138" max="16139" width="11.5703125" customWidth="1"/>
    <col min="16140" max="16140" width="10.7109375" customWidth="1"/>
    <col min="16141" max="16142" width="11.140625" customWidth="1"/>
    <col min="16143" max="16143" width="12.28515625" customWidth="1"/>
    <col min="16144" max="16144" width="11" customWidth="1"/>
    <col min="16145" max="16145" width="10.7109375" customWidth="1"/>
    <col min="16146" max="16146" width="11" customWidth="1"/>
    <col min="16147" max="16147" width="12.140625" customWidth="1"/>
    <col min="16148" max="16149" width="0" hidden="1" customWidth="1"/>
    <col min="16150" max="16150" width="15.7109375" customWidth="1"/>
  </cols>
  <sheetData>
    <row r="1" spans="1:25" ht="18" x14ac:dyDescent="0.25">
      <c r="A1" s="138" t="s">
        <v>666</v>
      </c>
      <c r="B1" s="139"/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139"/>
      <c r="N1" s="139"/>
      <c r="O1" s="139"/>
      <c r="P1" s="139"/>
      <c r="Q1" s="139"/>
      <c r="R1" s="139"/>
      <c r="S1" s="139"/>
    </row>
    <row r="2" spans="1:25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25" ht="33.75" customHeight="1" x14ac:dyDescent="0.3">
      <c r="A3" s="140"/>
      <c r="B3" s="142" t="s">
        <v>233</v>
      </c>
      <c r="C3" s="141" t="s">
        <v>438</v>
      </c>
      <c r="D3" s="385" t="s">
        <v>665</v>
      </c>
      <c r="E3" s="140">
        <v>2</v>
      </c>
      <c r="F3" s="140">
        <v>3</v>
      </c>
      <c r="G3" s="385" t="s">
        <v>439</v>
      </c>
      <c r="H3" s="140">
        <v>4</v>
      </c>
      <c r="I3" s="140">
        <v>5</v>
      </c>
      <c r="J3" s="140">
        <v>6</v>
      </c>
      <c r="K3" s="385" t="s">
        <v>440</v>
      </c>
      <c r="L3" s="140">
        <v>7</v>
      </c>
      <c r="M3" s="140">
        <v>8</v>
      </c>
      <c r="N3" s="140">
        <v>9</v>
      </c>
      <c r="O3" s="385" t="s">
        <v>441</v>
      </c>
      <c r="P3" s="140">
        <v>10</v>
      </c>
      <c r="Q3" s="140">
        <v>11</v>
      </c>
      <c r="R3" s="30">
        <v>12</v>
      </c>
      <c r="S3" s="142" t="s">
        <v>233</v>
      </c>
      <c r="V3" s="385" t="s">
        <v>664</v>
      </c>
      <c r="W3" s="327" t="s">
        <v>569</v>
      </c>
      <c r="X3" s="140"/>
      <c r="Y3" s="140"/>
    </row>
    <row r="4" spans="1:25" s="93" customFormat="1" ht="18.75" x14ac:dyDescent="0.3">
      <c r="A4" s="151" t="s">
        <v>100</v>
      </c>
      <c r="B4" s="389">
        <f>C4+G4+K4+O4</f>
        <v>293449.2</v>
      </c>
      <c r="C4" s="389">
        <f>C5+C6+C7+C8+C9</f>
        <v>43845</v>
      </c>
      <c r="D4" s="389">
        <v>7110</v>
      </c>
      <c r="E4" s="387">
        <v>19535</v>
      </c>
      <c r="F4" s="387">
        <v>17200</v>
      </c>
      <c r="G4" s="386">
        <f>G5+G6+G7+G8+G9</f>
        <v>65290</v>
      </c>
      <c r="H4" s="387">
        <v>20900</v>
      </c>
      <c r="I4" s="387">
        <v>18090</v>
      </c>
      <c r="J4" s="387">
        <v>26300</v>
      </c>
      <c r="K4" s="386">
        <f>K5+K6+K7+K8+K9</f>
        <v>70577.399999999994</v>
      </c>
      <c r="L4" s="387">
        <v>26377.4</v>
      </c>
      <c r="M4" s="387">
        <v>22100</v>
      </c>
      <c r="N4" s="387">
        <v>22100</v>
      </c>
      <c r="O4" s="386">
        <f>O5+O6+O7+O8+O9</f>
        <v>113736.8</v>
      </c>
      <c r="P4" s="387">
        <v>22100</v>
      </c>
      <c r="Q4" s="387">
        <v>22100</v>
      </c>
      <c r="R4" s="387">
        <v>69536.800000000003</v>
      </c>
      <c r="S4" s="386">
        <f>C4+G4+K4+O4</f>
        <v>293449.2</v>
      </c>
      <c r="T4" s="144"/>
      <c r="U4" s="93">
        <v>99313.8</v>
      </c>
      <c r="V4" s="558">
        <v>12.8</v>
      </c>
      <c r="W4" s="46">
        <f>V4-D4</f>
        <v>-7097.2</v>
      </c>
      <c r="X4" s="312"/>
      <c r="Y4" s="312"/>
    </row>
    <row r="5" spans="1:25" s="93" customFormat="1" ht="18.75" hidden="1" x14ac:dyDescent="0.3">
      <c r="A5" s="388">
        <v>10102010</v>
      </c>
      <c r="B5" s="389">
        <f t="shared" ref="B5:B33" si="0">C5+G5+K5+O5</f>
        <v>288792.09999999998</v>
      </c>
      <c r="C5" s="389">
        <f>D5+E5+F5</f>
        <v>43627</v>
      </c>
      <c r="D5" s="389">
        <f>D4-D6-D7-D8-D9</f>
        <v>7105</v>
      </c>
      <c r="E5" s="389">
        <f>E4-E6-E7-E8-E9</f>
        <v>19530</v>
      </c>
      <c r="F5" s="389">
        <f>F4-F6-F7-F8-F9</f>
        <v>16992</v>
      </c>
      <c r="G5" s="386">
        <f>H5+I5+J5</f>
        <v>64925</v>
      </c>
      <c r="H5" s="389">
        <f>H4-H6-H7-H8-H9</f>
        <v>20880</v>
      </c>
      <c r="I5" s="389">
        <f>I4-I6-I7-I8-I9</f>
        <v>18070</v>
      </c>
      <c r="J5" s="389">
        <f>J4-J6-J7-J8-J9</f>
        <v>25975</v>
      </c>
      <c r="K5" s="386">
        <f>L5+M5+N5</f>
        <v>68927.399999999994</v>
      </c>
      <c r="L5" s="389">
        <f>L4-L6-L7-L8-L9</f>
        <v>26352.400000000001</v>
      </c>
      <c r="M5" s="389">
        <f>M4-M6-M7-M8-M9</f>
        <v>22085</v>
      </c>
      <c r="N5" s="389">
        <f>N4-N6-N7-N8-N9</f>
        <v>20490</v>
      </c>
      <c r="O5" s="386">
        <f>P5+Q5+R5</f>
        <v>111312.7</v>
      </c>
      <c r="P5" s="389">
        <f>P4-P6-P7-P8-P9</f>
        <v>21665</v>
      </c>
      <c r="Q5" s="389">
        <f>Q4-Q6-Q7-Q8-Q9</f>
        <v>20850</v>
      </c>
      <c r="R5" s="389">
        <f>R4-R6-R7-R8-R9</f>
        <v>68797.7</v>
      </c>
      <c r="S5" s="386">
        <f>C5+G5+K5+O5</f>
        <v>288792.09999999998</v>
      </c>
      <c r="T5" s="144"/>
      <c r="V5" s="558"/>
      <c r="W5" s="46">
        <f t="shared" ref="W5:W21" si="1">V5-D5</f>
        <v>-7105</v>
      </c>
      <c r="X5" s="312"/>
      <c r="Y5" s="312"/>
    </row>
    <row r="6" spans="1:25" s="93" customFormat="1" ht="18.75" hidden="1" x14ac:dyDescent="0.3">
      <c r="A6" s="388">
        <v>10102020</v>
      </c>
      <c r="B6" s="389">
        <f t="shared" si="0"/>
        <v>1800</v>
      </c>
      <c r="C6" s="389">
        <f>D6+E6+F6</f>
        <v>0</v>
      </c>
      <c r="D6" s="389"/>
      <c r="E6" s="389"/>
      <c r="F6" s="389"/>
      <c r="G6" s="386">
        <f>H6+I6+J6</f>
        <v>0</v>
      </c>
      <c r="H6" s="389"/>
      <c r="I6" s="389"/>
      <c r="J6" s="389"/>
      <c r="K6" s="386">
        <f>L6+M6+N6</f>
        <v>1000</v>
      </c>
      <c r="L6" s="389"/>
      <c r="M6" s="389"/>
      <c r="N6" s="389">
        <v>1000</v>
      </c>
      <c r="O6" s="386">
        <f>P6+Q6+R6</f>
        <v>800</v>
      </c>
      <c r="P6" s="389"/>
      <c r="Q6" s="389">
        <v>800</v>
      </c>
      <c r="R6" s="389"/>
      <c r="S6" s="386">
        <f t="shared" ref="S6:S31" si="2">C6+G6+K6+O6</f>
        <v>1800</v>
      </c>
      <c r="T6" s="144"/>
      <c r="V6" s="558"/>
      <c r="W6" s="46">
        <f t="shared" si="1"/>
        <v>0</v>
      </c>
      <c r="X6" s="312"/>
      <c r="Y6" s="312"/>
    </row>
    <row r="7" spans="1:25" s="93" customFormat="1" ht="18.75" hidden="1" x14ac:dyDescent="0.3">
      <c r="A7" s="388">
        <v>10102030</v>
      </c>
      <c r="B7" s="389">
        <f t="shared" si="0"/>
        <v>2500</v>
      </c>
      <c r="C7" s="389">
        <f t="shared" ref="C7:C21" si="3">D7+E7+F7</f>
        <v>200</v>
      </c>
      <c r="D7" s="389"/>
      <c r="E7" s="389"/>
      <c r="F7" s="389">
        <v>200</v>
      </c>
      <c r="G7" s="386">
        <f t="shared" ref="G7:G21" si="4">H7+I7+J7</f>
        <v>300</v>
      </c>
      <c r="H7" s="389"/>
      <c r="I7" s="389"/>
      <c r="J7" s="389">
        <v>300</v>
      </c>
      <c r="K7" s="386">
        <f t="shared" ref="K7:K21" si="5">L7+M7+N7</f>
        <v>600</v>
      </c>
      <c r="L7" s="389"/>
      <c r="M7" s="389"/>
      <c r="N7" s="389">
        <v>600</v>
      </c>
      <c r="O7" s="386">
        <f t="shared" ref="O7:O21" si="6">P7+Q7+R7</f>
        <v>1400</v>
      </c>
      <c r="P7" s="389">
        <v>400</v>
      </c>
      <c r="Q7" s="389">
        <v>400</v>
      </c>
      <c r="R7" s="389">
        <v>600</v>
      </c>
      <c r="S7" s="386">
        <f t="shared" si="2"/>
        <v>2500</v>
      </c>
      <c r="T7" s="144"/>
      <c r="V7" s="558"/>
      <c r="W7" s="46">
        <f t="shared" si="1"/>
        <v>0</v>
      </c>
      <c r="X7" s="312"/>
      <c r="Y7" s="312"/>
    </row>
    <row r="8" spans="1:25" s="93" customFormat="1" ht="18.75" hidden="1" x14ac:dyDescent="0.3">
      <c r="A8" s="388">
        <v>10102040</v>
      </c>
      <c r="B8" s="389">
        <f t="shared" si="0"/>
        <v>268</v>
      </c>
      <c r="C8" s="389">
        <f t="shared" si="3"/>
        <v>18</v>
      </c>
      <c r="D8" s="389">
        <v>5</v>
      </c>
      <c r="E8" s="389">
        <v>5</v>
      </c>
      <c r="F8" s="389">
        <v>8</v>
      </c>
      <c r="G8" s="386">
        <f t="shared" si="4"/>
        <v>65</v>
      </c>
      <c r="H8" s="389">
        <v>20</v>
      </c>
      <c r="I8" s="389">
        <v>20</v>
      </c>
      <c r="J8" s="389">
        <v>25</v>
      </c>
      <c r="K8" s="386">
        <f t="shared" si="5"/>
        <v>50</v>
      </c>
      <c r="L8" s="389">
        <v>25</v>
      </c>
      <c r="M8" s="389">
        <v>15</v>
      </c>
      <c r="N8" s="389">
        <v>10</v>
      </c>
      <c r="O8" s="386">
        <f t="shared" si="6"/>
        <v>135</v>
      </c>
      <c r="P8" s="389">
        <v>35</v>
      </c>
      <c r="Q8" s="389">
        <v>50</v>
      </c>
      <c r="R8" s="389">
        <v>50</v>
      </c>
      <c r="S8" s="386">
        <f>C8+G8+K8+O8</f>
        <v>268</v>
      </c>
      <c r="T8" s="144"/>
      <c r="V8" s="558"/>
      <c r="W8" s="46">
        <f t="shared" si="1"/>
        <v>-5</v>
      </c>
      <c r="X8" s="312"/>
      <c r="Y8" s="312"/>
    </row>
    <row r="9" spans="1:25" s="93" customFormat="1" ht="18.75" hidden="1" x14ac:dyDescent="0.3">
      <c r="A9" s="388">
        <v>10102080</v>
      </c>
      <c r="B9" s="389">
        <f t="shared" si="0"/>
        <v>89.1</v>
      </c>
      <c r="C9" s="389">
        <f t="shared" si="3"/>
        <v>0</v>
      </c>
      <c r="D9" s="389"/>
      <c r="E9" s="389"/>
      <c r="F9" s="389"/>
      <c r="G9" s="386">
        <f t="shared" si="4"/>
        <v>0</v>
      </c>
      <c r="H9" s="389"/>
      <c r="I9" s="389"/>
      <c r="J9" s="389"/>
      <c r="K9" s="386">
        <f t="shared" si="5"/>
        <v>0</v>
      </c>
      <c r="L9" s="389"/>
      <c r="M9" s="389"/>
      <c r="N9" s="389"/>
      <c r="O9" s="386">
        <f t="shared" si="6"/>
        <v>89.1</v>
      </c>
      <c r="P9" s="389"/>
      <c r="Q9" s="389"/>
      <c r="R9" s="389">
        <v>89.1</v>
      </c>
      <c r="S9" s="386">
        <f t="shared" si="2"/>
        <v>89.1</v>
      </c>
      <c r="T9" s="144"/>
      <c r="V9" s="558"/>
      <c r="W9" s="46">
        <f t="shared" si="1"/>
        <v>0</v>
      </c>
      <c r="X9" s="312"/>
      <c r="Y9" s="312"/>
    </row>
    <row r="10" spans="1:25" s="103" customFormat="1" ht="18.75" x14ac:dyDescent="0.3">
      <c r="A10" s="151" t="s">
        <v>234</v>
      </c>
      <c r="B10" s="389">
        <f t="shared" si="0"/>
        <v>21189.3</v>
      </c>
      <c r="C10" s="389">
        <f t="shared" si="3"/>
        <v>1500</v>
      </c>
      <c r="D10" s="387"/>
      <c r="E10" s="387"/>
      <c r="F10" s="389">
        <v>1500</v>
      </c>
      <c r="G10" s="386">
        <f t="shared" si="4"/>
        <v>9500</v>
      </c>
      <c r="H10" s="389">
        <v>8000</v>
      </c>
      <c r="I10" s="389">
        <v>500</v>
      </c>
      <c r="J10" s="389">
        <v>1000</v>
      </c>
      <c r="K10" s="386">
        <f t="shared" si="5"/>
        <v>4800</v>
      </c>
      <c r="L10" s="389">
        <v>4000</v>
      </c>
      <c r="M10" s="389">
        <v>500</v>
      </c>
      <c r="N10" s="389">
        <v>300</v>
      </c>
      <c r="O10" s="386">
        <f t="shared" si="6"/>
        <v>5389.3</v>
      </c>
      <c r="P10" s="389">
        <v>5000</v>
      </c>
      <c r="Q10" s="389">
        <v>300</v>
      </c>
      <c r="R10" s="389">
        <v>89.3</v>
      </c>
      <c r="S10" s="386">
        <f t="shared" si="2"/>
        <v>21189.3</v>
      </c>
      <c r="T10" s="145"/>
      <c r="V10" s="558">
        <v>0.2</v>
      </c>
      <c r="W10" s="46">
        <f t="shared" si="1"/>
        <v>0.2</v>
      </c>
      <c r="X10" s="312"/>
      <c r="Y10" s="312"/>
    </row>
    <row r="11" spans="1:25" s="148" customFormat="1" ht="18.75" hidden="1" x14ac:dyDescent="0.3">
      <c r="A11" s="146">
        <v>10501011</v>
      </c>
      <c r="B11" s="389">
        <f t="shared" si="0"/>
        <v>15669.3</v>
      </c>
      <c r="C11" s="389">
        <f t="shared" si="3"/>
        <v>900</v>
      </c>
      <c r="D11" s="390">
        <f>D10-D12</f>
        <v>-15</v>
      </c>
      <c r="E11" s="390">
        <f>E10-E12</f>
        <v>-75</v>
      </c>
      <c r="F11" s="390">
        <f>F10-F12</f>
        <v>990</v>
      </c>
      <c r="G11" s="386">
        <f t="shared" si="4"/>
        <v>7790</v>
      </c>
      <c r="H11" s="390">
        <f>H10-H12</f>
        <v>7760</v>
      </c>
      <c r="I11" s="390">
        <f>I10-I12</f>
        <v>-550</v>
      </c>
      <c r="J11" s="390">
        <f>J10-J12</f>
        <v>580</v>
      </c>
      <c r="K11" s="386">
        <f t="shared" si="5"/>
        <v>3927</v>
      </c>
      <c r="L11" s="390">
        <f>L10-L12</f>
        <v>3460</v>
      </c>
      <c r="M11" s="390">
        <f>M10-M12</f>
        <v>467</v>
      </c>
      <c r="N11" s="390">
        <f>N10-N12</f>
        <v>0</v>
      </c>
      <c r="O11" s="386">
        <f t="shared" si="6"/>
        <v>3052.3</v>
      </c>
      <c r="P11" s="390">
        <f>P10-P12</f>
        <v>4370</v>
      </c>
      <c r="Q11" s="390">
        <f>Q10-Q12</f>
        <v>-750</v>
      </c>
      <c r="R11" s="390">
        <f>R10-R12</f>
        <v>-567.70000000000005</v>
      </c>
      <c r="S11" s="386">
        <f t="shared" si="2"/>
        <v>15669.3</v>
      </c>
      <c r="T11" s="147"/>
      <c r="V11" s="559"/>
      <c r="W11" s="46">
        <f t="shared" si="1"/>
        <v>15</v>
      </c>
      <c r="X11" s="140"/>
      <c r="Y11" s="140"/>
    </row>
    <row r="12" spans="1:25" s="148" customFormat="1" ht="18.75" hidden="1" x14ac:dyDescent="0.3">
      <c r="A12" s="146">
        <v>10501021</v>
      </c>
      <c r="B12" s="389">
        <f t="shared" si="0"/>
        <v>5520</v>
      </c>
      <c r="C12" s="389">
        <f t="shared" si="3"/>
        <v>600</v>
      </c>
      <c r="D12" s="390">
        <v>15</v>
      </c>
      <c r="E12" s="390">
        <v>75</v>
      </c>
      <c r="F12" s="390">
        <v>510</v>
      </c>
      <c r="G12" s="386">
        <f t="shared" si="4"/>
        <v>1710</v>
      </c>
      <c r="H12" s="390">
        <v>240</v>
      </c>
      <c r="I12" s="390">
        <v>1050</v>
      </c>
      <c r="J12" s="390">
        <v>420</v>
      </c>
      <c r="K12" s="386">
        <f t="shared" si="5"/>
        <v>873</v>
      </c>
      <c r="L12" s="390">
        <v>540</v>
      </c>
      <c r="M12" s="390">
        <v>33</v>
      </c>
      <c r="N12" s="390">
        <v>300</v>
      </c>
      <c r="O12" s="386">
        <f t="shared" si="6"/>
        <v>2337</v>
      </c>
      <c r="P12" s="390">
        <v>630</v>
      </c>
      <c r="Q12" s="390">
        <v>1050</v>
      </c>
      <c r="R12" s="390">
        <v>657</v>
      </c>
      <c r="S12" s="386">
        <f t="shared" si="2"/>
        <v>5520</v>
      </c>
      <c r="T12" s="147"/>
      <c r="V12" s="559"/>
      <c r="W12" s="46">
        <f t="shared" si="1"/>
        <v>-15</v>
      </c>
      <c r="X12" s="140"/>
      <c r="Y12" s="140"/>
    </row>
    <row r="13" spans="1:25" s="148" customFormat="1" ht="18.75" hidden="1" x14ac:dyDescent="0.3">
      <c r="A13" s="146" t="s">
        <v>235</v>
      </c>
      <c r="B13" s="389">
        <f t="shared" si="0"/>
        <v>0</v>
      </c>
      <c r="C13" s="389">
        <f t="shared" si="3"/>
        <v>0</v>
      </c>
      <c r="D13" s="390"/>
      <c r="E13" s="390"/>
      <c r="F13" s="390"/>
      <c r="G13" s="386">
        <f t="shared" si="4"/>
        <v>0</v>
      </c>
      <c r="H13" s="390"/>
      <c r="I13" s="390"/>
      <c r="J13" s="390"/>
      <c r="K13" s="386">
        <f t="shared" si="5"/>
        <v>0</v>
      </c>
      <c r="L13" s="390"/>
      <c r="M13" s="390"/>
      <c r="N13" s="390"/>
      <c r="O13" s="386">
        <f t="shared" si="6"/>
        <v>0</v>
      </c>
      <c r="P13" s="390"/>
      <c r="Q13" s="390"/>
      <c r="R13" s="391"/>
      <c r="S13" s="386">
        <f t="shared" si="2"/>
        <v>0</v>
      </c>
      <c r="T13" s="147"/>
      <c r="V13" s="559"/>
      <c r="W13" s="46">
        <f t="shared" si="1"/>
        <v>0</v>
      </c>
      <c r="X13" s="140"/>
      <c r="Y13" s="140"/>
    </row>
    <row r="14" spans="1:25" s="148" customFormat="1" ht="18.75" x14ac:dyDescent="0.3">
      <c r="A14" s="149" t="s">
        <v>236</v>
      </c>
      <c r="B14" s="389">
        <f t="shared" si="0"/>
        <v>475.1</v>
      </c>
      <c r="C14" s="389">
        <f t="shared" si="3"/>
        <v>80</v>
      </c>
      <c r="D14" s="390">
        <v>30</v>
      </c>
      <c r="E14" s="390">
        <v>50</v>
      </c>
      <c r="F14" s="390"/>
      <c r="G14" s="386">
        <f t="shared" si="4"/>
        <v>150</v>
      </c>
      <c r="H14" s="390">
        <v>150</v>
      </c>
      <c r="I14" s="390"/>
      <c r="J14" s="390"/>
      <c r="K14" s="386">
        <f t="shared" si="5"/>
        <v>120</v>
      </c>
      <c r="L14" s="390"/>
      <c r="M14" s="390">
        <v>100</v>
      </c>
      <c r="N14" s="390">
        <v>20</v>
      </c>
      <c r="O14" s="386">
        <f t="shared" si="6"/>
        <v>125.1</v>
      </c>
      <c r="P14" s="390">
        <v>75.099999999999994</v>
      </c>
      <c r="Q14" s="390">
        <v>50</v>
      </c>
      <c r="R14" s="391"/>
      <c r="S14" s="386">
        <f t="shared" si="2"/>
        <v>475.1</v>
      </c>
      <c r="T14" s="147"/>
      <c r="V14" s="559">
        <v>48</v>
      </c>
      <c r="W14" s="46">
        <f t="shared" si="1"/>
        <v>18</v>
      </c>
      <c r="X14" s="140"/>
      <c r="Y14" s="140"/>
    </row>
    <row r="15" spans="1:25" ht="18.75" x14ac:dyDescent="0.3">
      <c r="A15" s="149" t="s">
        <v>164</v>
      </c>
      <c r="B15" s="389">
        <f t="shared" si="0"/>
        <v>1829</v>
      </c>
      <c r="C15" s="389">
        <f t="shared" si="3"/>
        <v>1400</v>
      </c>
      <c r="D15" s="390"/>
      <c r="E15" s="390"/>
      <c r="F15" s="390">
        <v>1400</v>
      </c>
      <c r="G15" s="386">
        <f t="shared" si="4"/>
        <v>0</v>
      </c>
      <c r="H15" s="390"/>
      <c r="I15" s="390"/>
      <c r="J15" s="390"/>
      <c r="K15" s="386">
        <f t="shared" si="5"/>
        <v>429</v>
      </c>
      <c r="L15" s="390">
        <v>429</v>
      </c>
      <c r="M15" s="390"/>
      <c r="N15" s="390"/>
      <c r="O15" s="386">
        <f t="shared" si="6"/>
        <v>0</v>
      </c>
      <c r="P15" s="390"/>
      <c r="Q15" s="390"/>
      <c r="R15" s="390"/>
      <c r="S15" s="386">
        <f t="shared" si="2"/>
        <v>1829</v>
      </c>
      <c r="T15" s="150"/>
      <c r="U15">
        <v>122.6</v>
      </c>
      <c r="V15" s="559"/>
      <c r="W15" s="46"/>
      <c r="X15" s="140"/>
      <c r="Y15" s="140"/>
    </row>
    <row r="16" spans="1:25" s="93" customFormat="1" ht="18.75" x14ac:dyDescent="0.3">
      <c r="A16" s="151" t="s">
        <v>101</v>
      </c>
      <c r="B16" s="389">
        <f t="shared" si="0"/>
        <v>24762.9</v>
      </c>
      <c r="C16" s="389">
        <f t="shared" si="3"/>
        <v>5416.4</v>
      </c>
      <c r="D16" s="389">
        <v>1647</v>
      </c>
      <c r="E16" s="389">
        <v>364.3</v>
      </c>
      <c r="F16" s="389">
        <v>3405.1</v>
      </c>
      <c r="G16" s="386">
        <f t="shared" si="4"/>
        <v>6165.6</v>
      </c>
      <c r="H16" s="389">
        <v>2054</v>
      </c>
      <c r="I16" s="389">
        <v>1981.2</v>
      </c>
      <c r="J16" s="389">
        <v>2130.4</v>
      </c>
      <c r="K16" s="386">
        <f t="shared" si="5"/>
        <v>6327.7999999999993</v>
      </c>
      <c r="L16" s="389">
        <v>2023.2</v>
      </c>
      <c r="M16" s="389">
        <v>2130.6999999999998</v>
      </c>
      <c r="N16" s="389">
        <v>2173.9</v>
      </c>
      <c r="O16" s="386">
        <f t="shared" si="6"/>
        <v>6853.1</v>
      </c>
      <c r="P16" s="389">
        <v>2225.4</v>
      </c>
      <c r="Q16" s="389">
        <v>1119.7</v>
      </c>
      <c r="R16" s="389">
        <v>3508</v>
      </c>
      <c r="S16" s="386">
        <f t="shared" si="2"/>
        <v>24762.9</v>
      </c>
      <c r="T16" s="144"/>
      <c r="V16" s="558"/>
      <c r="W16" s="46">
        <f t="shared" si="1"/>
        <v>-1647</v>
      </c>
      <c r="X16" s="312"/>
      <c r="Y16" s="312"/>
    </row>
    <row r="17" spans="1:25" ht="18.75" x14ac:dyDescent="0.3">
      <c r="A17" s="149" t="s">
        <v>237</v>
      </c>
      <c r="B17" s="389">
        <f t="shared" si="0"/>
        <v>5312.3</v>
      </c>
      <c r="C17" s="389">
        <f t="shared" si="3"/>
        <v>1151.7</v>
      </c>
      <c r="D17" s="390">
        <v>292.2</v>
      </c>
      <c r="E17" s="390">
        <v>382</v>
      </c>
      <c r="F17" s="390">
        <v>477.5</v>
      </c>
      <c r="G17" s="386">
        <f t="shared" si="4"/>
        <v>1286.0999999999999</v>
      </c>
      <c r="H17" s="390">
        <v>462.7</v>
      </c>
      <c r="I17" s="390">
        <v>401.6</v>
      </c>
      <c r="J17" s="390">
        <v>421.8</v>
      </c>
      <c r="K17" s="386">
        <f t="shared" si="5"/>
        <v>1376.9</v>
      </c>
      <c r="L17" s="390">
        <v>439.9</v>
      </c>
      <c r="M17" s="390">
        <v>468</v>
      </c>
      <c r="N17" s="390">
        <v>469</v>
      </c>
      <c r="O17" s="386">
        <f t="shared" si="6"/>
        <v>1497.6000000000001</v>
      </c>
      <c r="P17" s="390">
        <v>494.6</v>
      </c>
      <c r="Q17" s="390">
        <v>489.3</v>
      </c>
      <c r="R17" s="390">
        <v>513.70000000000005</v>
      </c>
      <c r="S17" s="386">
        <f t="shared" si="2"/>
        <v>5312.3</v>
      </c>
      <c r="T17" s="94" t="e">
        <f>#REF!+#REF!</f>
        <v>#REF!</v>
      </c>
      <c r="U17" s="557" t="e">
        <f>#REF!+#REF!</f>
        <v>#REF!</v>
      </c>
      <c r="V17" s="559">
        <v>33</v>
      </c>
      <c r="W17" s="46">
        <f t="shared" si="1"/>
        <v>-259.2</v>
      </c>
      <c r="X17" s="140"/>
      <c r="Y17" s="140"/>
    </row>
    <row r="18" spans="1:25" ht="18.75" x14ac:dyDescent="0.3">
      <c r="A18" s="149" t="s">
        <v>238</v>
      </c>
      <c r="B18" s="389">
        <f t="shared" si="0"/>
        <v>8528</v>
      </c>
      <c r="C18" s="389">
        <f t="shared" si="3"/>
        <v>700</v>
      </c>
      <c r="D18" s="390">
        <v>100</v>
      </c>
      <c r="E18" s="390">
        <v>400</v>
      </c>
      <c r="F18" s="390">
        <v>200</v>
      </c>
      <c r="G18" s="386">
        <f t="shared" si="4"/>
        <v>80</v>
      </c>
      <c r="H18" s="390">
        <v>40</v>
      </c>
      <c r="I18" s="390">
        <v>20</v>
      </c>
      <c r="J18" s="390">
        <v>20</v>
      </c>
      <c r="K18" s="386">
        <f t="shared" si="5"/>
        <v>1548</v>
      </c>
      <c r="L18" s="390">
        <v>20</v>
      </c>
      <c r="M18" s="390">
        <v>28</v>
      </c>
      <c r="N18" s="390">
        <v>1500</v>
      </c>
      <c r="O18" s="386">
        <f t="shared" si="6"/>
        <v>6200</v>
      </c>
      <c r="P18" s="390">
        <v>1600</v>
      </c>
      <c r="Q18" s="390">
        <v>3000</v>
      </c>
      <c r="R18" s="391">
        <v>1600</v>
      </c>
      <c r="S18" s="386">
        <f t="shared" si="2"/>
        <v>8528</v>
      </c>
      <c r="T18" s="150"/>
      <c r="V18" s="559">
        <v>3.9</v>
      </c>
      <c r="W18" s="46">
        <f t="shared" si="1"/>
        <v>-96.1</v>
      </c>
      <c r="X18" s="140"/>
      <c r="Y18" s="140"/>
    </row>
    <row r="19" spans="1:25" ht="18.75" x14ac:dyDescent="0.3">
      <c r="A19" s="151" t="s">
        <v>104</v>
      </c>
      <c r="B19" s="389">
        <f t="shared" si="0"/>
        <v>22172.400000000001</v>
      </c>
      <c r="C19" s="389">
        <f>D19+E19+F19</f>
        <v>1970</v>
      </c>
      <c r="D19" s="389">
        <f>D20+D21</f>
        <v>0</v>
      </c>
      <c r="E19" s="389">
        <f t="shared" ref="E19:Y19" si="7">E20+E21</f>
        <v>1600</v>
      </c>
      <c r="F19" s="389">
        <f t="shared" si="7"/>
        <v>370</v>
      </c>
      <c r="G19" s="389">
        <f t="shared" si="7"/>
        <v>1870</v>
      </c>
      <c r="H19" s="389">
        <f t="shared" si="7"/>
        <v>1600</v>
      </c>
      <c r="I19" s="389">
        <f t="shared" si="7"/>
        <v>220</v>
      </c>
      <c r="J19" s="389">
        <f t="shared" si="7"/>
        <v>50</v>
      </c>
      <c r="K19" s="389">
        <f t="shared" si="7"/>
        <v>3270</v>
      </c>
      <c r="L19" s="389">
        <f t="shared" si="7"/>
        <v>1600</v>
      </c>
      <c r="M19" s="389">
        <f t="shared" si="7"/>
        <v>170</v>
      </c>
      <c r="N19" s="389">
        <f t="shared" si="7"/>
        <v>1500</v>
      </c>
      <c r="O19" s="389">
        <f t="shared" si="7"/>
        <v>15062.4</v>
      </c>
      <c r="P19" s="389">
        <f t="shared" si="7"/>
        <v>3100</v>
      </c>
      <c r="Q19" s="389">
        <f t="shared" si="7"/>
        <v>4225</v>
      </c>
      <c r="R19" s="389">
        <f t="shared" si="7"/>
        <v>7737.4</v>
      </c>
      <c r="S19" s="389">
        <f t="shared" si="7"/>
        <v>22172.400000000001</v>
      </c>
      <c r="T19" s="389">
        <f t="shared" si="7"/>
        <v>0</v>
      </c>
      <c r="U19" s="389">
        <f t="shared" si="7"/>
        <v>0</v>
      </c>
      <c r="V19" s="387">
        <f t="shared" si="7"/>
        <v>38</v>
      </c>
      <c r="W19" s="46">
        <f t="shared" si="1"/>
        <v>38</v>
      </c>
      <c r="X19" s="389">
        <f t="shared" si="7"/>
        <v>0</v>
      </c>
      <c r="Y19" s="389">
        <f t="shared" si="7"/>
        <v>0</v>
      </c>
    </row>
    <row r="20" spans="1:25" ht="18.75" x14ac:dyDescent="0.3">
      <c r="A20" s="149" t="s">
        <v>239</v>
      </c>
      <c r="B20" s="389">
        <f t="shared" si="0"/>
        <v>8452</v>
      </c>
      <c r="C20" s="389">
        <f t="shared" si="3"/>
        <v>1620</v>
      </c>
      <c r="D20" s="390"/>
      <c r="E20" s="390">
        <v>1500</v>
      </c>
      <c r="F20" s="390">
        <v>120</v>
      </c>
      <c r="G20" s="386">
        <f t="shared" si="4"/>
        <v>1620</v>
      </c>
      <c r="H20" s="390">
        <v>1500</v>
      </c>
      <c r="I20" s="390">
        <v>120</v>
      </c>
      <c r="J20" s="390"/>
      <c r="K20" s="386">
        <f t="shared" si="5"/>
        <v>1620</v>
      </c>
      <c r="L20" s="390">
        <v>1500</v>
      </c>
      <c r="M20" s="390">
        <v>120</v>
      </c>
      <c r="N20" s="390"/>
      <c r="O20" s="386">
        <f t="shared" si="6"/>
        <v>3592</v>
      </c>
      <c r="P20" s="390">
        <v>1500</v>
      </c>
      <c r="Q20" s="390">
        <v>120</v>
      </c>
      <c r="R20" s="391">
        <v>1972</v>
      </c>
      <c r="S20" s="386">
        <f t="shared" si="2"/>
        <v>8452</v>
      </c>
      <c r="T20" s="150"/>
      <c r="V20" s="559"/>
      <c r="W20" s="46">
        <f t="shared" si="1"/>
        <v>0</v>
      </c>
      <c r="X20" s="140"/>
      <c r="Y20" s="140"/>
    </row>
    <row r="21" spans="1:25" ht="18.75" x14ac:dyDescent="0.3">
      <c r="A21" s="149" t="s">
        <v>240</v>
      </c>
      <c r="B21" s="389">
        <f t="shared" si="0"/>
        <v>13720.4</v>
      </c>
      <c r="C21" s="389">
        <f t="shared" si="3"/>
        <v>350</v>
      </c>
      <c r="D21" s="390"/>
      <c r="E21" s="390">
        <v>100</v>
      </c>
      <c r="F21" s="390">
        <v>250</v>
      </c>
      <c r="G21" s="386">
        <f t="shared" si="4"/>
        <v>250</v>
      </c>
      <c r="H21" s="390">
        <v>100</v>
      </c>
      <c r="I21" s="390">
        <v>100</v>
      </c>
      <c r="J21" s="390">
        <v>50</v>
      </c>
      <c r="K21" s="386">
        <f t="shared" si="5"/>
        <v>1650</v>
      </c>
      <c r="L21" s="390">
        <v>100</v>
      </c>
      <c r="M21" s="390">
        <v>50</v>
      </c>
      <c r="N21" s="390">
        <v>1500</v>
      </c>
      <c r="O21" s="386">
        <f t="shared" si="6"/>
        <v>11470.4</v>
      </c>
      <c r="P21" s="390">
        <v>1600</v>
      </c>
      <c r="Q21" s="390">
        <v>4105</v>
      </c>
      <c r="R21" s="391">
        <v>5765.4</v>
      </c>
      <c r="S21" s="386">
        <f t="shared" si="2"/>
        <v>13720.4</v>
      </c>
      <c r="T21" s="150"/>
      <c r="V21" s="559">
        <v>38</v>
      </c>
      <c r="W21" s="46">
        <f t="shared" si="1"/>
        <v>38</v>
      </c>
      <c r="X21" s="140"/>
      <c r="Y21" s="140"/>
    </row>
    <row r="22" spans="1:25" s="148" customFormat="1" ht="23.25" customHeight="1" x14ac:dyDescent="0.3">
      <c r="A22" s="392" t="s">
        <v>145</v>
      </c>
      <c r="B22" s="386">
        <f>B19+B18+B17+B16+B15+B14+B10+B4</f>
        <v>377718.2</v>
      </c>
      <c r="C22" s="386">
        <f t="shared" ref="C22:Y22" si="8">C19+C18+C17+C16+C15+C14+C10+C4</f>
        <v>56063.1</v>
      </c>
      <c r="D22" s="386">
        <f t="shared" si="8"/>
        <v>9179.2000000000007</v>
      </c>
      <c r="E22" s="386">
        <f t="shared" si="8"/>
        <v>22331.3</v>
      </c>
      <c r="F22" s="386">
        <f t="shared" si="8"/>
        <v>24552.6</v>
      </c>
      <c r="G22" s="386">
        <f t="shared" si="8"/>
        <v>84341.7</v>
      </c>
      <c r="H22" s="386">
        <f t="shared" si="8"/>
        <v>33206.699999999997</v>
      </c>
      <c r="I22" s="386">
        <f t="shared" si="8"/>
        <v>21212.799999999999</v>
      </c>
      <c r="J22" s="386">
        <f t="shared" si="8"/>
        <v>29922.2</v>
      </c>
      <c r="K22" s="386">
        <f t="shared" si="8"/>
        <v>88449.099999999991</v>
      </c>
      <c r="L22" s="386">
        <f t="shared" si="8"/>
        <v>34889.5</v>
      </c>
      <c r="M22" s="386">
        <f t="shared" si="8"/>
        <v>25496.7</v>
      </c>
      <c r="N22" s="386">
        <f t="shared" si="8"/>
        <v>28062.9</v>
      </c>
      <c r="O22" s="386">
        <f t="shared" si="8"/>
        <v>148864.29999999999</v>
      </c>
      <c r="P22" s="386">
        <f t="shared" si="8"/>
        <v>34595.1</v>
      </c>
      <c r="Q22" s="386">
        <f t="shared" si="8"/>
        <v>31284</v>
      </c>
      <c r="R22" s="386">
        <f t="shared" si="8"/>
        <v>82985.2</v>
      </c>
      <c r="S22" s="386">
        <f t="shared" si="8"/>
        <v>377718.2</v>
      </c>
      <c r="T22" s="386" t="e">
        <f t="shared" si="8"/>
        <v>#REF!</v>
      </c>
      <c r="U22" s="386" t="e">
        <f t="shared" si="8"/>
        <v>#REF!</v>
      </c>
      <c r="V22" s="386">
        <f>V19+V18+V17+V16+V15+V14+V10+V4</f>
        <v>135.9</v>
      </c>
      <c r="W22" s="386">
        <f t="shared" si="8"/>
        <v>-9043.2999999999993</v>
      </c>
      <c r="X22" s="386">
        <f t="shared" si="8"/>
        <v>0</v>
      </c>
      <c r="Y22" s="386">
        <f t="shared" si="8"/>
        <v>0</v>
      </c>
    </row>
    <row r="23" spans="1:25" ht="18.75" x14ac:dyDescent="0.3">
      <c r="A23" s="151" t="s">
        <v>241</v>
      </c>
      <c r="B23" s="389">
        <f t="shared" si="0"/>
        <v>135</v>
      </c>
      <c r="C23" s="389">
        <f t="shared" ref="C23:C31" si="9">D23+E23+F23</f>
        <v>0</v>
      </c>
      <c r="D23" s="389"/>
      <c r="E23" s="389"/>
      <c r="F23" s="389"/>
      <c r="G23" s="386">
        <f t="shared" ref="G23:G31" si="10">H23+I23+J23</f>
        <v>135</v>
      </c>
      <c r="H23" s="389">
        <v>135</v>
      </c>
      <c r="I23" s="389"/>
      <c r="J23" s="389"/>
      <c r="K23" s="386">
        <f t="shared" ref="K23:K31" si="11">L23+M23+N23</f>
        <v>0</v>
      </c>
      <c r="L23" s="389"/>
      <c r="M23" s="389"/>
      <c r="N23" s="389"/>
      <c r="O23" s="386">
        <f t="shared" ref="O23:O31" si="12">P23+Q23+R23</f>
        <v>0</v>
      </c>
      <c r="P23" s="389"/>
      <c r="Q23" s="389"/>
      <c r="R23" s="395"/>
      <c r="S23" s="386">
        <f t="shared" si="2"/>
        <v>135</v>
      </c>
      <c r="T23" s="150"/>
      <c r="U23" s="153">
        <v>100</v>
      </c>
      <c r="V23" s="559"/>
      <c r="W23" s="35"/>
      <c r="X23" s="140"/>
      <c r="Y23" s="140"/>
    </row>
    <row r="24" spans="1:25" ht="18.75" x14ac:dyDescent="0.3">
      <c r="A24" s="155" t="s">
        <v>242</v>
      </c>
      <c r="B24" s="389">
        <f t="shared" si="0"/>
        <v>5025</v>
      </c>
      <c r="C24" s="389">
        <f t="shared" si="9"/>
        <v>1100</v>
      </c>
      <c r="D24" s="390">
        <v>200</v>
      </c>
      <c r="E24" s="390">
        <v>500</v>
      </c>
      <c r="F24" s="390">
        <v>400</v>
      </c>
      <c r="G24" s="386">
        <f t="shared" si="10"/>
        <v>1300</v>
      </c>
      <c r="H24" s="390">
        <v>400</v>
      </c>
      <c r="I24" s="390">
        <v>500</v>
      </c>
      <c r="J24" s="390">
        <v>400</v>
      </c>
      <c r="K24" s="386">
        <f t="shared" si="11"/>
        <v>1300</v>
      </c>
      <c r="L24" s="390">
        <v>500</v>
      </c>
      <c r="M24" s="390">
        <v>400</v>
      </c>
      <c r="N24" s="390">
        <v>400</v>
      </c>
      <c r="O24" s="386">
        <f t="shared" si="12"/>
        <v>1325</v>
      </c>
      <c r="P24" s="390">
        <v>400</v>
      </c>
      <c r="Q24" s="390">
        <v>400</v>
      </c>
      <c r="R24" s="390">
        <v>525</v>
      </c>
      <c r="S24" s="386">
        <f t="shared" si="2"/>
        <v>5025</v>
      </c>
      <c r="T24" s="150"/>
      <c r="U24" s="156">
        <v>2080.5</v>
      </c>
      <c r="V24" s="559">
        <f>2.5+11.3</f>
        <v>13.8</v>
      </c>
      <c r="W24" s="35">
        <f t="shared" ref="W24:W25" si="13">V24-D24</f>
        <v>-186.2</v>
      </c>
      <c r="X24" s="140"/>
      <c r="Y24" s="140"/>
    </row>
    <row r="25" spans="1:25" ht="18.75" x14ac:dyDescent="0.3">
      <c r="A25" s="155" t="s">
        <v>243</v>
      </c>
      <c r="B25" s="389">
        <f t="shared" si="0"/>
        <v>1623</v>
      </c>
      <c r="C25" s="389">
        <f t="shared" si="9"/>
        <v>350</v>
      </c>
      <c r="D25" s="390">
        <v>100</v>
      </c>
      <c r="E25" s="390">
        <v>130</v>
      </c>
      <c r="F25" s="390">
        <v>120</v>
      </c>
      <c r="G25" s="386">
        <f t="shared" si="10"/>
        <v>370</v>
      </c>
      <c r="H25" s="390">
        <v>130</v>
      </c>
      <c r="I25" s="390">
        <v>120</v>
      </c>
      <c r="J25" s="390">
        <v>120</v>
      </c>
      <c r="K25" s="386">
        <f t="shared" si="11"/>
        <v>390</v>
      </c>
      <c r="L25" s="390">
        <v>130</v>
      </c>
      <c r="M25" s="390">
        <v>130</v>
      </c>
      <c r="N25" s="390">
        <v>130</v>
      </c>
      <c r="O25" s="386">
        <f t="shared" si="12"/>
        <v>513</v>
      </c>
      <c r="P25" s="390">
        <v>130</v>
      </c>
      <c r="Q25" s="390">
        <v>130</v>
      </c>
      <c r="R25" s="390">
        <v>253</v>
      </c>
      <c r="S25" s="386">
        <f t="shared" si="2"/>
        <v>1623</v>
      </c>
      <c r="T25" s="150"/>
      <c r="U25" s="156">
        <v>929.1</v>
      </c>
      <c r="V25" s="559">
        <f>65+12.6</f>
        <v>77.599999999999994</v>
      </c>
      <c r="W25" s="35">
        <f t="shared" si="13"/>
        <v>-22.400000000000006</v>
      </c>
      <c r="X25" s="140"/>
      <c r="Y25" s="140"/>
    </row>
    <row r="26" spans="1:25" ht="32.25" x14ac:dyDescent="0.3">
      <c r="A26" s="556" t="s">
        <v>364</v>
      </c>
      <c r="B26" s="389">
        <f t="shared" si="0"/>
        <v>7</v>
      </c>
      <c r="C26" s="389">
        <f t="shared" si="9"/>
        <v>0</v>
      </c>
      <c r="D26" s="389"/>
      <c r="E26" s="389"/>
      <c r="F26" s="389"/>
      <c r="G26" s="386">
        <f t="shared" si="10"/>
        <v>6</v>
      </c>
      <c r="H26" s="389">
        <v>2</v>
      </c>
      <c r="I26" s="389">
        <v>4</v>
      </c>
      <c r="J26" s="389"/>
      <c r="K26" s="386">
        <f t="shared" si="11"/>
        <v>1</v>
      </c>
      <c r="L26" s="389">
        <v>1</v>
      </c>
      <c r="M26" s="389"/>
      <c r="N26" s="389"/>
      <c r="O26" s="386">
        <f t="shared" si="12"/>
        <v>0</v>
      </c>
      <c r="P26" s="389"/>
      <c r="Q26" s="389"/>
      <c r="R26" s="395"/>
      <c r="S26" s="386">
        <f t="shared" si="2"/>
        <v>7</v>
      </c>
      <c r="T26" s="150"/>
      <c r="V26" s="559"/>
      <c r="W26" s="35"/>
      <c r="X26" s="140"/>
      <c r="Y26" s="140"/>
    </row>
    <row r="27" spans="1:25" ht="18.75" x14ac:dyDescent="0.3">
      <c r="A27" s="149" t="s">
        <v>244</v>
      </c>
      <c r="B27" s="389">
        <f t="shared" si="0"/>
        <v>250</v>
      </c>
      <c r="C27" s="389">
        <f t="shared" si="9"/>
        <v>0</v>
      </c>
      <c r="D27" s="390"/>
      <c r="E27" s="390"/>
      <c r="F27" s="390"/>
      <c r="G27" s="386">
        <f t="shared" si="10"/>
        <v>0</v>
      </c>
      <c r="H27" s="390"/>
      <c r="I27" s="390"/>
      <c r="J27" s="390"/>
      <c r="K27" s="386">
        <f t="shared" si="11"/>
        <v>0</v>
      </c>
      <c r="L27" s="390"/>
      <c r="M27" s="390"/>
      <c r="N27" s="390"/>
      <c r="O27" s="386">
        <f t="shared" si="12"/>
        <v>250</v>
      </c>
      <c r="P27" s="390"/>
      <c r="Q27" s="390"/>
      <c r="R27" s="391">
        <v>250</v>
      </c>
      <c r="S27" s="386">
        <f t="shared" si="2"/>
        <v>250</v>
      </c>
      <c r="T27" s="150"/>
      <c r="U27" s="153">
        <v>450</v>
      </c>
      <c r="V27" s="140"/>
      <c r="W27" s="35"/>
      <c r="X27" s="140"/>
      <c r="Y27" s="140"/>
    </row>
    <row r="28" spans="1:25" ht="18.75" x14ac:dyDescent="0.3">
      <c r="A28" s="155" t="s">
        <v>245</v>
      </c>
      <c r="B28" s="389">
        <f t="shared" si="0"/>
        <v>4500</v>
      </c>
      <c r="C28" s="389">
        <f t="shared" si="9"/>
        <v>500</v>
      </c>
      <c r="D28" s="390"/>
      <c r="E28" s="390">
        <v>250</v>
      </c>
      <c r="F28" s="390">
        <v>250</v>
      </c>
      <c r="G28" s="386">
        <f t="shared" si="10"/>
        <v>1500</v>
      </c>
      <c r="H28" s="390">
        <v>500</v>
      </c>
      <c r="I28" s="390">
        <v>500</v>
      </c>
      <c r="J28" s="390">
        <v>500</v>
      </c>
      <c r="K28" s="386">
        <f t="shared" si="11"/>
        <v>1500</v>
      </c>
      <c r="L28" s="390">
        <v>500</v>
      </c>
      <c r="M28" s="390">
        <v>500</v>
      </c>
      <c r="N28" s="390">
        <v>500</v>
      </c>
      <c r="O28" s="386">
        <f t="shared" si="12"/>
        <v>1000</v>
      </c>
      <c r="P28" s="390">
        <v>300</v>
      </c>
      <c r="Q28" s="390">
        <v>400</v>
      </c>
      <c r="R28" s="390">
        <v>300</v>
      </c>
      <c r="S28" s="386">
        <f t="shared" si="2"/>
        <v>4500</v>
      </c>
      <c r="T28" s="150"/>
      <c r="U28" s="153">
        <v>1300</v>
      </c>
      <c r="V28" s="140"/>
      <c r="W28" s="35"/>
      <c r="X28" s="140"/>
      <c r="Y28" s="140"/>
    </row>
    <row r="29" spans="1:25" ht="18.75" hidden="1" x14ac:dyDescent="0.3">
      <c r="A29" s="149"/>
      <c r="B29" s="389">
        <f t="shared" si="0"/>
        <v>0</v>
      </c>
      <c r="C29" s="389">
        <f t="shared" si="9"/>
        <v>0</v>
      </c>
      <c r="D29" s="390"/>
      <c r="E29" s="390"/>
      <c r="F29" s="390"/>
      <c r="G29" s="386">
        <f t="shared" si="10"/>
        <v>0</v>
      </c>
      <c r="H29" s="390"/>
      <c r="I29" s="390"/>
      <c r="J29" s="390"/>
      <c r="K29" s="386">
        <f t="shared" si="11"/>
        <v>0</v>
      </c>
      <c r="L29" s="390"/>
      <c r="M29" s="390"/>
      <c r="N29" s="390"/>
      <c r="O29" s="386">
        <f t="shared" si="12"/>
        <v>0</v>
      </c>
      <c r="P29" s="390"/>
      <c r="Q29" s="390"/>
      <c r="R29" s="391"/>
      <c r="S29" s="386">
        <f t="shared" si="2"/>
        <v>0</v>
      </c>
      <c r="T29" s="150"/>
      <c r="U29" s="156">
        <v>982.2</v>
      </c>
      <c r="V29" s="140"/>
      <c r="W29" s="35"/>
      <c r="X29" s="140"/>
      <c r="Y29" s="140"/>
    </row>
    <row r="30" spans="1:25" ht="18.75" x14ac:dyDescent="0.3">
      <c r="A30" s="149" t="s">
        <v>109</v>
      </c>
      <c r="B30" s="389">
        <f t="shared" si="0"/>
        <v>951.3</v>
      </c>
      <c r="C30" s="389">
        <f t="shared" si="9"/>
        <v>121.3</v>
      </c>
      <c r="D30" s="390"/>
      <c r="E30" s="390">
        <v>70</v>
      </c>
      <c r="F30" s="390">
        <v>51.3</v>
      </c>
      <c r="G30" s="386">
        <f t="shared" si="10"/>
        <v>280</v>
      </c>
      <c r="H30" s="390">
        <v>50</v>
      </c>
      <c r="I30" s="390">
        <v>130</v>
      </c>
      <c r="J30" s="390">
        <v>100</v>
      </c>
      <c r="K30" s="386">
        <f t="shared" si="11"/>
        <v>300</v>
      </c>
      <c r="L30" s="390">
        <v>100</v>
      </c>
      <c r="M30" s="390">
        <v>100</v>
      </c>
      <c r="N30" s="390">
        <v>100</v>
      </c>
      <c r="O30" s="386">
        <f t="shared" si="12"/>
        <v>250</v>
      </c>
      <c r="P30" s="390">
        <v>100</v>
      </c>
      <c r="Q30" s="390">
        <v>100</v>
      </c>
      <c r="R30" s="391">
        <v>50</v>
      </c>
      <c r="S30" s="386">
        <f t="shared" si="2"/>
        <v>951.3</v>
      </c>
      <c r="T30" s="150"/>
      <c r="U30" s="156">
        <v>1372.9</v>
      </c>
      <c r="V30" s="140"/>
      <c r="W30" s="35"/>
      <c r="X30" s="140"/>
      <c r="Y30" s="140"/>
    </row>
    <row r="31" spans="1:25" ht="18.75" x14ac:dyDescent="0.3">
      <c r="A31" s="157" t="s">
        <v>247</v>
      </c>
      <c r="B31" s="389">
        <f t="shared" si="0"/>
        <v>585.29999999999995</v>
      </c>
      <c r="C31" s="389">
        <f t="shared" si="9"/>
        <v>60</v>
      </c>
      <c r="D31" s="390"/>
      <c r="E31" s="390">
        <v>60</v>
      </c>
      <c r="F31" s="390"/>
      <c r="G31" s="386">
        <f t="shared" si="10"/>
        <v>162</v>
      </c>
      <c r="H31" s="390">
        <v>90</v>
      </c>
      <c r="I31" s="390">
        <v>60</v>
      </c>
      <c r="J31" s="390">
        <v>12</v>
      </c>
      <c r="K31" s="386">
        <f t="shared" si="11"/>
        <v>125</v>
      </c>
      <c r="L31" s="390">
        <v>80</v>
      </c>
      <c r="M31" s="390">
        <v>20</v>
      </c>
      <c r="N31" s="390">
        <v>25</v>
      </c>
      <c r="O31" s="386">
        <f t="shared" si="12"/>
        <v>238.3</v>
      </c>
      <c r="P31" s="390">
        <v>70</v>
      </c>
      <c r="Q31" s="390">
        <v>95.3</v>
      </c>
      <c r="R31" s="391">
        <v>73</v>
      </c>
      <c r="S31" s="386">
        <f t="shared" si="2"/>
        <v>585.29999999999995</v>
      </c>
      <c r="T31" s="150"/>
      <c r="V31" s="140"/>
      <c r="W31" s="35"/>
      <c r="X31" s="140"/>
      <c r="Y31" s="140"/>
    </row>
    <row r="32" spans="1:25" s="103" customFormat="1" ht="23.25" customHeight="1" x14ac:dyDescent="0.3">
      <c r="A32" s="397" t="s">
        <v>146</v>
      </c>
      <c r="B32" s="386">
        <f t="shared" si="0"/>
        <v>13076.599999999999</v>
      </c>
      <c r="C32" s="386">
        <f>SUM(C23:C31)</f>
        <v>2131.3000000000002</v>
      </c>
      <c r="D32" s="386">
        <f t="shared" ref="D32:Y32" si="14">SUM(D23:D31)</f>
        <v>300</v>
      </c>
      <c r="E32" s="386">
        <f t="shared" si="14"/>
        <v>1010</v>
      </c>
      <c r="F32" s="386">
        <f t="shared" si="14"/>
        <v>821.3</v>
      </c>
      <c r="G32" s="386">
        <f t="shared" si="14"/>
        <v>3753</v>
      </c>
      <c r="H32" s="386">
        <f t="shared" si="14"/>
        <v>1307</v>
      </c>
      <c r="I32" s="386">
        <f t="shared" si="14"/>
        <v>1314</v>
      </c>
      <c r="J32" s="386">
        <f t="shared" si="14"/>
        <v>1132</v>
      </c>
      <c r="K32" s="386">
        <f t="shared" si="14"/>
        <v>3616</v>
      </c>
      <c r="L32" s="386">
        <f t="shared" si="14"/>
        <v>1311</v>
      </c>
      <c r="M32" s="386">
        <f t="shared" si="14"/>
        <v>1150</v>
      </c>
      <c r="N32" s="386">
        <f t="shared" si="14"/>
        <v>1155</v>
      </c>
      <c r="O32" s="386">
        <f t="shared" si="14"/>
        <v>3576.3</v>
      </c>
      <c r="P32" s="386">
        <f t="shared" si="14"/>
        <v>1000</v>
      </c>
      <c r="Q32" s="386">
        <f t="shared" si="14"/>
        <v>1125.3</v>
      </c>
      <c r="R32" s="386">
        <f t="shared" si="14"/>
        <v>1451</v>
      </c>
      <c r="S32" s="386">
        <f t="shared" si="14"/>
        <v>13076.599999999999</v>
      </c>
      <c r="T32" s="386">
        <f t="shared" si="14"/>
        <v>0</v>
      </c>
      <c r="U32" s="386">
        <f t="shared" si="14"/>
        <v>7214.7000000000007</v>
      </c>
      <c r="V32" s="386">
        <f t="shared" si="14"/>
        <v>91.399999999999991</v>
      </c>
      <c r="W32" s="386">
        <f t="shared" si="14"/>
        <v>-208.6</v>
      </c>
      <c r="X32" s="386">
        <f t="shared" si="14"/>
        <v>0</v>
      </c>
      <c r="Y32" s="386">
        <f t="shared" si="14"/>
        <v>0</v>
      </c>
    </row>
    <row r="33" spans="1:25" s="93" customFormat="1" ht="24" customHeight="1" x14ac:dyDescent="0.3">
      <c r="A33" s="399" t="s">
        <v>248</v>
      </c>
      <c r="B33" s="387">
        <f t="shared" si="0"/>
        <v>390794.8</v>
      </c>
      <c r="C33" s="387">
        <f>C32+C22</f>
        <v>58194.400000000001</v>
      </c>
      <c r="D33" s="387">
        <f t="shared" ref="D33:Y33" si="15">D32+D22</f>
        <v>9479.2000000000007</v>
      </c>
      <c r="E33" s="387">
        <f t="shared" si="15"/>
        <v>23341.3</v>
      </c>
      <c r="F33" s="387">
        <f t="shared" si="15"/>
        <v>25373.899999999998</v>
      </c>
      <c r="G33" s="387">
        <f t="shared" si="15"/>
        <v>88094.7</v>
      </c>
      <c r="H33" s="387">
        <f t="shared" si="15"/>
        <v>34513.699999999997</v>
      </c>
      <c r="I33" s="387">
        <f t="shared" si="15"/>
        <v>22526.799999999999</v>
      </c>
      <c r="J33" s="387">
        <f t="shared" si="15"/>
        <v>31054.2</v>
      </c>
      <c r="K33" s="387">
        <f t="shared" si="15"/>
        <v>92065.099999999991</v>
      </c>
      <c r="L33" s="387">
        <f t="shared" si="15"/>
        <v>36200.5</v>
      </c>
      <c r="M33" s="387">
        <f t="shared" si="15"/>
        <v>26646.7</v>
      </c>
      <c r="N33" s="387">
        <f t="shared" si="15"/>
        <v>29217.9</v>
      </c>
      <c r="O33" s="387">
        <f t="shared" si="15"/>
        <v>152440.59999999998</v>
      </c>
      <c r="P33" s="387">
        <f t="shared" si="15"/>
        <v>35595.1</v>
      </c>
      <c r="Q33" s="387">
        <f t="shared" si="15"/>
        <v>32409.3</v>
      </c>
      <c r="R33" s="387">
        <f t="shared" si="15"/>
        <v>84436.2</v>
      </c>
      <c r="S33" s="387">
        <f t="shared" si="15"/>
        <v>390794.8</v>
      </c>
      <c r="T33" s="387" t="e">
        <f t="shared" si="15"/>
        <v>#REF!</v>
      </c>
      <c r="U33" s="387" t="e">
        <f t="shared" si="15"/>
        <v>#REF!</v>
      </c>
      <c r="V33" s="387">
        <f t="shared" si="15"/>
        <v>227.3</v>
      </c>
      <c r="W33" s="387">
        <f t="shared" si="15"/>
        <v>-9251.9</v>
      </c>
      <c r="X33" s="387">
        <f t="shared" si="15"/>
        <v>0</v>
      </c>
      <c r="Y33" s="387">
        <f t="shared" si="15"/>
        <v>0</v>
      </c>
    </row>
    <row r="36" spans="1:25" x14ac:dyDescent="0.2">
      <c r="W36" s="53"/>
    </row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13"/>
  <sheetViews>
    <sheetView topLeftCell="A7" workbookViewId="0">
      <selection activeCell="A22" sqref="A22"/>
    </sheetView>
  </sheetViews>
  <sheetFormatPr defaultRowHeight="12.75" x14ac:dyDescent="0.2"/>
  <cols>
    <col min="1" max="1" width="23.5703125" customWidth="1"/>
    <col min="2" max="2" width="11.7109375" customWidth="1"/>
    <col min="3" max="3" width="11" customWidth="1"/>
    <col min="4" max="4" width="10.5703125" customWidth="1"/>
    <col min="5" max="7" width="11" customWidth="1"/>
    <col min="8" max="8" width="11.140625" customWidth="1"/>
    <col min="9" max="9" width="10.85546875" customWidth="1"/>
    <col min="10" max="10" width="11.140625" customWidth="1"/>
    <col min="11" max="11" width="10.5703125" customWidth="1"/>
    <col min="12" max="14" width="10.7109375" customWidth="1"/>
    <col min="15" max="15" width="12.7109375" customWidth="1"/>
    <col min="16" max="17" width="10.7109375" customWidth="1"/>
    <col min="18" max="18" width="9.7109375" bestFit="1" customWidth="1"/>
  </cols>
  <sheetData>
    <row r="1" spans="1:18" ht="15" x14ac:dyDescent="0.2">
      <c r="A1" s="26" t="s">
        <v>293</v>
      </c>
    </row>
    <row r="2" spans="1:18" ht="13.5" thickBot="1" x14ac:dyDescent="0.25"/>
    <row r="3" spans="1:18" ht="15.75" thickBot="1" x14ac:dyDescent="0.25">
      <c r="A3" s="27"/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8"/>
      <c r="P3" s="28"/>
      <c r="Q3" s="29"/>
    </row>
    <row r="4" spans="1:18" ht="25.5" x14ac:dyDescent="0.2">
      <c r="A4" s="27" t="s">
        <v>148</v>
      </c>
      <c r="B4" s="192" t="s">
        <v>294</v>
      </c>
      <c r="C4" s="83" t="s">
        <v>150</v>
      </c>
      <c r="D4" s="84" t="s">
        <v>151</v>
      </c>
      <c r="E4" s="84" t="s">
        <v>152</v>
      </c>
      <c r="F4" s="120" t="s">
        <v>202</v>
      </c>
      <c r="G4" s="83" t="s">
        <v>153</v>
      </c>
      <c r="H4" s="84" t="s">
        <v>154</v>
      </c>
      <c r="I4" s="84" t="s">
        <v>155</v>
      </c>
      <c r="J4" s="120" t="s">
        <v>217</v>
      </c>
      <c r="K4" s="83" t="s">
        <v>156</v>
      </c>
      <c r="L4" s="84" t="s">
        <v>157</v>
      </c>
      <c r="M4" s="84" t="s">
        <v>158</v>
      </c>
      <c r="N4" s="123" t="s">
        <v>218</v>
      </c>
      <c r="O4" s="76" t="s">
        <v>159</v>
      </c>
      <c r="P4" s="32" t="s">
        <v>160</v>
      </c>
      <c r="Q4" s="32" t="s">
        <v>161</v>
      </c>
    </row>
    <row r="5" spans="1:18" ht="18.75" x14ac:dyDescent="0.3">
      <c r="A5" s="2" t="s">
        <v>100</v>
      </c>
      <c r="B5" s="74">
        <f t="shared" ref="B5:B11" si="0">C5+D5+E5+G5+H5+I5+K5+L5+M5+O5+P5+Q5</f>
        <v>195059.69999999995</v>
      </c>
      <c r="C5" s="85">
        <v>5703.8</v>
      </c>
      <c r="D5" s="35">
        <v>14978.7</v>
      </c>
      <c r="E5" s="35">
        <v>12671.6</v>
      </c>
      <c r="F5" s="87">
        <f t="shared" ref="F5:F22" si="1">C5+D5+E5</f>
        <v>33354.1</v>
      </c>
      <c r="G5" s="85">
        <v>15998.1</v>
      </c>
      <c r="H5" s="36">
        <v>13436.7</v>
      </c>
      <c r="I5" s="35">
        <v>17376.5</v>
      </c>
      <c r="J5" s="87">
        <f>G5+H5+I5</f>
        <v>46811.3</v>
      </c>
      <c r="K5" s="85">
        <v>15903.9</v>
      </c>
      <c r="L5" s="35">
        <v>16384.8</v>
      </c>
      <c r="M5" s="35">
        <v>14701.9</v>
      </c>
      <c r="N5" s="87">
        <f>K5+L5+M5</f>
        <v>46990.6</v>
      </c>
      <c r="O5" s="77">
        <v>16143.6</v>
      </c>
      <c r="P5" s="35">
        <v>17963.3</v>
      </c>
      <c r="Q5" s="35">
        <v>33796.800000000003</v>
      </c>
      <c r="R5" s="131"/>
    </row>
    <row r="6" spans="1:18" ht="45" x14ac:dyDescent="0.3">
      <c r="A6" s="2" t="s">
        <v>330</v>
      </c>
      <c r="B6" s="74">
        <f t="shared" si="0"/>
        <v>18740.199999999997</v>
      </c>
      <c r="C6" s="85">
        <v>1521.1</v>
      </c>
      <c r="D6" s="35"/>
      <c r="E6" s="35">
        <v>2667.3</v>
      </c>
      <c r="F6" s="87">
        <f t="shared" si="1"/>
        <v>4188.3999999999996</v>
      </c>
      <c r="G6" s="85">
        <v>1070.3</v>
      </c>
      <c r="H6" s="35">
        <v>1997.7</v>
      </c>
      <c r="I6" s="35">
        <v>1538.8</v>
      </c>
      <c r="J6" s="87">
        <f t="shared" ref="J6:J11" si="2">G6+H6+I6</f>
        <v>4606.8</v>
      </c>
      <c r="K6" s="85">
        <v>1643.8</v>
      </c>
      <c r="L6" s="35">
        <v>1701.8</v>
      </c>
      <c r="M6" s="35">
        <v>1829.4</v>
      </c>
      <c r="N6" s="87">
        <f t="shared" ref="N6:N11" si="3">K6+L6+M6</f>
        <v>5175</v>
      </c>
      <c r="O6" s="77">
        <v>1683.3</v>
      </c>
      <c r="P6" s="35">
        <v>1545.4</v>
      </c>
      <c r="Q6" s="35">
        <v>1541.3</v>
      </c>
    </row>
    <row r="7" spans="1:18" ht="18.75" x14ac:dyDescent="0.3">
      <c r="A7" s="15" t="s">
        <v>102</v>
      </c>
      <c r="B7" s="74">
        <f t="shared" si="0"/>
        <v>12727.499999999998</v>
      </c>
      <c r="C7" s="85">
        <v>771.1</v>
      </c>
      <c r="D7" s="35">
        <v>159.30000000000001</v>
      </c>
      <c r="E7" s="35">
        <v>803.1</v>
      </c>
      <c r="F7" s="87">
        <f t="shared" si="1"/>
        <v>1733.5</v>
      </c>
      <c r="G7" s="85">
        <v>1718.2</v>
      </c>
      <c r="H7" s="35">
        <v>2203.5</v>
      </c>
      <c r="I7" s="35">
        <v>821.5</v>
      </c>
      <c r="J7" s="87">
        <f t="shared" si="2"/>
        <v>4743.2</v>
      </c>
      <c r="K7" s="85">
        <v>1830.6</v>
      </c>
      <c r="L7" s="35">
        <v>486.5</v>
      </c>
      <c r="M7" s="35">
        <v>409.6</v>
      </c>
      <c r="N7" s="87">
        <f t="shared" si="3"/>
        <v>2726.7</v>
      </c>
      <c r="O7" s="77">
        <v>2619.9</v>
      </c>
      <c r="P7" s="35">
        <v>431.9</v>
      </c>
      <c r="Q7" s="35">
        <v>472.3</v>
      </c>
    </row>
    <row r="8" spans="1:18" ht="30" x14ac:dyDescent="0.3">
      <c r="A8" s="2" t="s">
        <v>103</v>
      </c>
      <c r="B8" s="74">
        <f t="shared" si="0"/>
        <v>65</v>
      </c>
      <c r="C8" s="85">
        <v>1.9</v>
      </c>
      <c r="D8" s="35">
        <v>3.7</v>
      </c>
      <c r="E8" s="35">
        <v>93.2</v>
      </c>
      <c r="F8" s="87">
        <f t="shared" si="1"/>
        <v>98.8</v>
      </c>
      <c r="G8" s="85">
        <v>20.7</v>
      </c>
      <c r="H8" s="35">
        <v>3</v>
      </c>
      <c r="I8" s="35">
        <v>3</v>
      </c>
      <c r="J8" s="87">
        <f t="shared" si="2"/>
        <v>26.7</v>
      </c>
      <c r="K8" s="85">
        <v>0.3</v>
      </c>
      <c r="L8" s="35">
        <v>5.6</v>
      </c>
      <c r="M8" s="35">
        <v>-11</v>
      </c>
      <c r="N8" s="87">
        <f t="shared" si="3"/>
        <v>-5.1000000000000005</v>
      </c>
      <c r="O8" s="77">
        <v>1.2</v>
      </c>
      <c r="P8" s="35">
        <v>-58.1</v>
      </c>
      <c r="Q8" s="35">
        <v>1.5</v>
      </c>
    </row>
    <row r="9" spans="1:18" ht="45" x14ac:dyDescent="0.3">
      <c r="A9" s="2" t="s">
        <v>12</v>
      </c>
      <c r="B9" s="74">
        <f t="shared" si="0"/>
        <v>139.6</v>
      </c>
      <c r="C9" s="85"/>
      <c r="D9" s="35">
        <v>65</v>
      </c>
      <c r="E9" s="35">
        <v>10.5</v>
      </c>
      <c r="F9" s="87">
        <f t="shared" si="1"/>
        <v>75.5</v>
      </c>
      <c r="G9" s="85"/>
      <c r="H9" s="35">
        <v>25.5</v>
      </c>
      <c r="I9" s="35">
        <v>7.4</v>
      </c>
      <c r="J9" s="87">
        <f t="shared" si="2"/>
        <v>32.9</v>
      </c>
      <c r="K9" s="85">
        <v>30.5</v>
      </c>
      <c r="L9" s="35"/>
      <c r="M9" s="35">
        <v>0.5</v>
      </c>
      <c r="N9" s="87">
        <f t="shared" si="3"/>
        <v>31</v>
      </c>
      <c r="O9" s="77">
        <v>0.2</v>
      </c>
      <c r="P9" s="35"/>
      <c r="Q9" s="35">
        <v>0</v>
      </c>
    </row>
    <row r="10" spans="1:18" ht="30" x14ac:dyDescent="0.3">
      <c r="A10" s="2" t="s">
        <v>224</v>
      </c>
      <c r="B10" s="74">
        <f>C10+D10+E10+G10+H10+I10+K10+L10+M10+O10+P10+Q10</f>
        <v>2371.4</v>
      </c>
      <c r="C10" s="85">
        <v>120.2</v>
      </c>
      <c r="D10" s="35">
        <v>137.6</v>
      </c>
      <c r="E10" s="35">
        <v>564.70000000000005</v>
      </c>
      <c r="F10" s="87">
        <f t="shared" si="1"/>
        <v>822.5</v>
      </c>
      <c r="G10" s="85">
        <v>23.5</v>
      </c>
      <c r="H10" s="35">
        <v>33.1</v>
      </c>
      <c r="I10" s="35">
        <v>306</v>
      </c>
      <c r="J10" s="87">
        <f t="shared" si="2"/>
        <v>362.6</v>
      </c>
      <c r="K10" s="85">
        <v>78.8</v>
      </c>
      <c r="L10" s="35">
        <v>18.899999999999999</v>
      </c>
      <c r="M10" s="35">
        <v>168.2</v>
      </c>
      <c r="N10" s="87">
        <f t="shared" si="3"/>
        <v>265.89999999999998</v>
      </c>
      <c r="O10" s="77">
        <v>133.19999999999999</v>
      </c>
      <c r="P10" s="35">
        <v>69.7</v>
      </c>
      <c r="Q10" s="35">
        <v>717.5</v>
      </c>
    </row>
    <row r="11" spans="1:18" ht="30" x14ac:dyDescent="0.3">
      <c r="A11" s="2" t="s">
        <v>15</v>
      </c>
      <c r="B11" s="74">
        <f t="shared" si="0"/>
        <v>8501.2999999999993</v>
      </c>
      <c r="C11" s="85">
        <v>65.8</v>
      </c>
      <c r="D11" s="35">
        <v>63.4</v>
      </c>
      <c r="E11" s="35">
        <v>184.1</v>
      </c>
      <c r="F11" s="87">
        <f t="shared" si="1"/>
        <v>313.29999999999995</v>
      </c>
      <c r="G11" s="85">
        <v>98.4</v>
      </c>
      <c r="H11" s="35">
        <v>112.4</v>
      </c>
      <c r="I11" s="35">
        <v>45.5</v>
      </c>
      <c r="J11" s="87">
        <f t="shared" si="2"/>
        <v>256.3</v>
      </c>
      <c r="K11" s="85">
        <v>167.1</v>
      </c>
      <c r="L11" s="35">
        <v>110.5</v>
      </c>
      <c r="M11" s="35">
        <v>497.8</v>
      </c>
      <c r="N11" s="87">
        <f t="shared" si="3"/>
        <v>775.40000000000009</v>
      </c>
      <c r="O11" s="77">
        <v>2071.5</v>
      </c>
      <c r="P11" s="35">
        <v>3925.8</v>
      </c>
      <c r="Q11" s="35">
        <v>1159</v>
      </c>
    </row>
    <row r="12" spans="1:18" ht="30" x14ac:dyDescent="0.3">
      <c r="A12" s="2" t="s">
        <v>17</v>
      </c>
      <c r="B12" s="74">
        <f>C12+D12+E12+G12+H12+I12+K12+L12+M12+O12+P12+Q12</f>
        <v>15650.2</v>
      </c>
      <c r="C12" s="85">
        <v>78.8</v>
      </c>
      <c r="D12" s="35">
        <v>3826.4</v>
      </c>
      <c r="E12" s="35">
        <v>620.5</v>
      </c>
      <c r="F12" s="87">
        <f t="shared" si="1"/>
        <v>4525.7000000000007</v>
      </c>
      <c r="G12" s="85">
        <v>3585</v>
      </c>
      <c r="H12" s="35">
        <v>628.1</v>
      </c>
      <c r="I12" s="35">
        <v>115.8</v>
      </c>
      <c r="J12" s="87">
        <f t="shared" ref="J12:J14" si="4">G12+H12+I12</f>
        <v>4328.9000000000005</v>
      </c>
      <c r="K12" s="85">
        <v>3782.3</v>
      </c>
      <c r="L12" s="35">
        <v>264.10000000000002</v>
      </c>
      <c r="M12" s="35">
        <v>29.8</v>
      </c>
      <c r="N12" s="87">
        <f t="shared" ref="N12:N14" si="5">K12+L12+M12</f>
        <v>4076.2000000000003</v>
      </c>
      <c r="O12" s="77">
        <v>2568.8000000000002</v>
      </c>
      <c r="P12" s="35">
        <v>112.3</v>
      </c>
      <c r="Q12" s="35">
        <v>38.299999999999997</v>
      </c>
    </row>
    <row r="13" spans="1:18" ht="30" x14ac:dyDescent="0.3">
      <c r="A13" s="2" t="s">
        <v>19</v>
      </c>
      <c r="B13" s="74">
        <f>C13+D13+E13+G13+H13+I13+K13+L13+M13+O13+P13+Q13</f>
        <v>11687.7</v>
      </c>
      <c r="C13" s="85">
        <v>420</v>
      </c>
      <c r="D13" s="35">
        <v>153.30000000000001</v>
      </c>
      <c r="E13" s="35">
        <v>205.8</v>
      </c>
      <c r="F13" s="87">
        <f t="shared" si="1"/>
        <v>779.09999999999991</v>
      </c>
      <c r="G13" s="85">
        <v>116.8</v>
      </c>
      <c r="H13" s="35">
        <v>206.5</v>
      </c>
      <c r="I13" s="35">
        <v>74</v>
      </c>
      <c r="J13" s="87">
        <f t="shared" si="4"/>
        <v>397.3</v>
      </c>
      <c r="K13" s="85">
        <v>109.2</v>
      </c>
      <c r="L13" s="35">
        <v>249.1</v>
      </c>
      <c r="M13" s="35">
        <v>1225.8</v>
      </c>
      <c r="N13" s="87">
        <f t="shared" si="5"/>
        <v>1584.1</v>
      </c>
      <c r="O13" s="77">
        <v>3342.7</v>
      </c>
      <c r="P13" s="35">
        <v>3743.4</v>
      </c>
      <c r="Q13" s="35">
        <v>1841.1</v>
      </c>
    </row>
    <row r="14" spans="1:18" ht="19.5" thickBot="1" x14ac:dyDescent="0.35">
      <c r="A14" s="15" t="s">
        <v>105</v>
      </c>
      <c r="B14" s="74">
        <f>C14+D14+E14+G14+H14+I14+K14+L14+M14+O14+P14+Q14</f>
        <v>1955.1000000000004</v>
      </c>
      <c r="C14" s="85">
        <v>105.7</v>
      </c>
      <c r="D14" s="35">
        <v>158.69999999999999</v>
      </c>
      <c r="E14" s="35">
        <v>213.8</v>
      </c>
      <c r="F14" s="87">
        <f t="shared" si="1"/>
        <v>478.2</v>
      </c>
      <c r="G14" s="85">
        <v>230</v>
      </c>
      <c r="H14" s="35">
        <v>107.1</v>
      </c>
      <c r="I14" s="35">
        <v>171.8</v>
      </c>
      <c r="J14" s="87">
        <f t="shared" si="4"/>
        <v>508.90000000000003</v>
      </c>
      <c r="K14" s="85">
        <v>144.6</v>
      </c>
      <c r="L14" s="35">
        <v>195</v>
      </c>
      <c r="M14" s="35">
        <v>130.4</v>
      </c>
      <c r="N14" s="87">
        <f t="shared" si="5"/>
        <v>470</v>
      </c>
      <c r="O14" s="77">
        <v>144.4</v>
      </c>
      <c r="P14" s="35">
        <v>136.9</v>
      </c>
      <c r="Q14" s="35">
        <v>216.7</v>
      </c>
    </row>
    <row r="15" spans="1:18" ht="19.5" thickBot="1" x14ac:dyDescent="0.35">
      <c r="A15" s="39" t="s">
        <v>145</v>
      </c>
      <c r="B15" s="75">
        <f>SUM(B5:B14)</f>
        <v>266897.69999999995</v>
      </c>
      <c r="C15" s="75">
        <f t="shared" ref="C15:Q15" si="6">SUM(C5:C14)</f>
        <v>8788.4</v>
      </c>
      <c r="D15" s="75">
        <f t="shared" si="6"/>
        <v>19546.100000000002</v>
      </c>
      <c r="E15" s="75">
        <f>SUM(E5:E14)</f>
        <v>18034.599999999999</v>
      </c>
      <c r="F15" s="75">
        <f t="shared" si="6"/>
        <v>46369.1</v>
      </c>
      <c r="G15" s="75">
        <f t="shared" si="6"/>
        <v>22861.000000000004</v>
      </c>
      <c r="H15" s="75">
        <f t="shared" si="6"/>
        <v>18753.599999999999</v>
      </c>
      <c r="I15" s="75">
        <f t="shared" si="6"/>
        <v>20460.3</v>
      </c>
      <c r="J15" s="75">
        <f t="shared" si="6"/>
        <v>62074.900000000009</v>
      </c>
      <c r="K15" s="75">
        <f t="shared" si="6"/>
        <v>23691.099999999995</v>
      </c>
      <c r="L15" s="75">
        <f t="shared" si="6"/>
        <v>19416.299999999996</v>
      </c>
      <c r="M15" s="75">
        <f t="shared" si="6"/>
        <v>18982.399999999998</v>
      </c>
      <c r="N15" s="75">
        <f t="shared" si="6"/>
        <v>62089.799999999996</v>
      </c>
      <c r="O15" s="75">
        <f t="shared" si="6"/>
        <v>28708.800000000007</v>
      </c>
      <c r="P15" s="75">
        <f t="shared" si="6"/>
        <v>27870.600000000006</v>
      </c>
      <c r="Q15" s="75">
        <f t="shared" si="6"/>
        <v>39784.500000000007</v>
      </c>
    </row>
    <row r="16" spans="1:18" ht="18.75" x14ac:dyDescent="0.3">
      <c r="A16" s="43" t="s">
        <v>170</v>
      </c>
      <c r="B16" s="74">
        <f t="shared" ref="B16:B27" si="7">C16+D16+E16+G16+H16+I16+K16+L16+M16+O16+P16+Q16</f>
        <v>143.9</v>
      </c>
      <c r="C16" s="89"/>
      <c r="D16" s="44"/>
      <c r="E16" s="44"/>
      <c r="F16" s="87">
        <f t="shared" si="1"/>
        <v>0</v>
      </c>
      <c r="G16" s="89">
        <v>143.9</v>
      </c>
      <c r="H16" s="44"/>
      <c r="I16" s="44"/>
      <c r="J16" s="87">
        <f t="shared" ref="J16:J18" si="8">G16+H16+I16</f>
        <v>143.9</v>
      </c>
      <c r="K16" s="89"/>
      <c r="L16" s="44"/>
      <c r="M16" s="44"/>
      <c r="N16" s="87">
        <f t="shared" ref="N16:N18" si="9">K16+L16+M16</f>
        <v>0</v>
      </c>
      <c r="O16" s="80"/>
      <c r="P16" s="44"/>
      <c r="Q16" s="35"/>
    </row>
    <row r="17" spans="1:17" ht="18.75" x14ac:dyDescent="0.3">
      <c r="A17" s="45" t="s">
        <v>171</v>
      </c>
      <c r="B17" s="74">
        <f t="shared" si="7"/>
        <v>3723.8999999999996</v>
      </c>
      <c r="C17" s="90">
        <v>437.1</v>
      </c>
      <c r="D17" s="47">
        <v>359.4</v>
      </c>
      <c r="E17" s="46">
        <v>175.5</v>
      </c>
      <c r="F17" s="87">
        <f t="shared" si="1"/>
        <v>972</v>
      </c>
      <c r="G17" s="90">
        <v>224.6</v>
      </c>
      <c r="H17" s="46">
        <v>545.9</v>
      </c>
      <c r="I17" s="46">
        <v>221.6</v>
      </c>
      <c r="J17" s="87">
        <f t="shared" si="8"/>
        <v>992.1</v>
      </c>
      <c r="K17" s="90">
        <v>241</v>
      </c>
      <c r="L17" s="46">
        <v>223.7</v>
      </c>
      <c r="M17" s="46">
        <v>277.39999999999998</v>
      </c>
      <c r="N17" s="87">
        <f t="shared" si="9"/>
        <v>742.09999999999991</v>
      </c>
      <c r="O17" s="77">
        <v>169.9</v>
      </c>
      <c r="P17" s="35">
        <v>302</v>
      </c>
      <c r="Q17" s="35">
        <v>545.79999999999995</v>
      </c>
    </row>
    <row r="18" spans="1:17" ht="18.75" x14ac:dyDescent="0.3">
      <c r="A18" s="37" t="s">
        <v>172</v>
      </c>
      <c r="B18" s="74">
        <f t="shared" si="7"/>
        <v>1275.2</v>
      </c>
      <c r="C18" s="85">
        <v>63.6</v>
      </c>
      <c r="D18" s="35">
        <v>127.3</v>
      </c>
      <c r="E18" s="35">
        <v>75.400000000000006</v>
      </c>
      <c r="F18" s="87">
        <f t="shared" si="1"/>
        <v>266.3</v>
      </c>
      <c r="G18" s="85">
        <v>129.69999999999999</v>
      </c>
      <c r="H18" s="35">
        <v>115.9</v>
      </c>
      <c r="I18" s="35">
        <v>139.5</v>
      </c>
      <c r="J18" s="87">
        <f t="shared" si="8"/>
        <v>385.1</v>
      </c>
      <c r="K18" s="85">
        <v>94</v>
      </c>
      <c r="L18" s="35">
        <v>82.6</v>
      </c>
      <c r="M18" s="35">
        <v>111.1</v>
      </c>
      <c r="N18" s="87">
        <f t="shared" si="9"/>
        <v>287.7</v>
      </c>
      <c r="O18" s="77">
        <v>82.3</v>
      </c>
      <c r="P18" s="35">
        <v>92.5</v>
      </c>
      <c r="Q18" s="35">
        <v>161.30000000000001</v>
      </c>
    </row>
    <row r="19" spans="1:17" ht="31.5" x14ac:dyDescent="0.3">
      <c r="A19" s="33" t="s">
        <v>295</v>
      </c>
      <c r="B19" s="74">
        <f t="shared" si="7"/>
        <v>458.3</v>
      </c>
      <c r="C19" s="85"/>
      <c r="D19" s="35">
        <v>114.2</v>
      </c>
      <c r="E19" s="35">
        <v>180.6</v>
      </c>
      <c r="F19" s="87">
        <f t="shared" si="1"/>
        <v>294.8</v>
      </c>
      <c r="G19" s="85">
        <v>45</v>
      </c>
      <c r="H19" s="35">
        <v>26.5</v>
      </c>
      <c r="I19" s="35">
        <v>44.5</v>
      </c>
      <c r="J19" s="87">
        <f>G19+H19+I19</f>
        <v>116</v>
      </c>
      <c r="K19" s="85">
        <v>0.5</v>
      </c>
      <c r="L19" s="35">
        <v>1</v>
      </c>
      <c r="M19" s="35"/>
      <c r="N19" s="87">
        <f>K19+L19+M19</f>
        <v>1.5</v>
      </c>
      <c r="O19" s="77">
        <v>45.5</v>
      </c>
      <c r="P19" s="35">
        <v>0.4</v>
      </c>
      <c r="Q19" s="35">
        <v>0.1</v>
      </c>
    </row>
    <row r="20" spans="1:17" ht="30" x14ac:dyDescent="0.3">
      <c r="A20" s="2" t="s">
        <v>231</v>
      </c>
      <c r="B20" s="74">
        <f t="shared" si="7"/>
        <v>424.1</v>
      </c>
      <c r="C20" s="85">
        <v>47.3</v>
      </c>
      <c r="D20" s="35">
        <v>0.5</v>
      </c>
      <c r="E20" s="35"/>
      <c r="F20" s="87">
        <f t="shared" si="1"/>
        <v>47.8</v>
      </c>
      <c r="G20" s="85">
        <v>43.3</v>
      </c>
      <c r="H20" s="35">
        <v>73.099999999999994</v>
      </c>
      <c r="I20" s="35"/>
      <c r="J20" s="87">
        <f t="shared" ref="J20" si="10">G20+H20+I20</f>
        <v>116.39999999999999</v>
      </c>
      <c r="K20" s="85">
        <v>3.9</v>
      </c>
      <c r="L20" s="35">
        <v>14.6</v>
      </c>
      <c r="M20" s="35">
        <v>27.6</v>
      </c>
      <c r="N20" s="87">
        <f t="shared" ref="N20:N22" si="11">K20+L20+M20</f>
        <v>46.1</v>
      </c>
      <c r="O20" s="77">
        <v>1.6</v>
      </c>
      <c r="P20" s="35">
        <v>105.1</v>
      </c>
      <c r="Q20" s="35">
        <v>107.1</v>
      </c>
    </row>
    <row r="21" spans="1:17" ht="30" x14ac:dyDescent="0.3">
      <c r="A21" s="2" t="s">
        <v>285</v>
      </c>
      <c r="B21" s="74">
        <f t="shared" si="7"/>
        <v>155.99999999999989</v>
      </c>
      <c r="C21" s="85">
        <v>34.9</v>
      </c>
      <c r="D21" s="35"/>
      <c r="E21" s="35">
        <v>8</v>
      </c>
      <c r="F21" s="87">
        <f t="shared" si="1"/>
        <v>42.9</v>
      </c>
      <c r="G21" s="85"/>
      <c r="H21" s="35"/>
      <c r="I21" s="35">
        <v>27.2</v>
      </c>
      <c r="J21" s="87"/>
      <c r="K21" s="85">
        <v>94</v>
      </c>
      <c r="L21" s="35"/>
      <c r="M21" s="35">
        <v>983.3</v>
      </c>
      <c r="N21" s="87">
        <f t="shared" si="11"/>
        <v>1077.3</v>
      </c>
      <c r="O21" s="77"/>
      <c r="P21" s="35"/>
      <c r="Q21" s="35">
        <v>-991.4</v>
      </c>
    </row>
    <row r="22" spans="1:17" ht="33.75" x14ac:dyDescent="0.3">
      <c r="A22" s="181" t="s">
        <v>296</v>
      </c>
      <c r="B22" s="74">
        <f t="shared" si="7"/>
        <v>513.1</v>
      </c>
      <c r="C22" s="85"/>
      <c r="D22" s="35"/>
      <c r="E22" s="35">
        <v>4.9000000000000004</v>
      </c>
      <c r="F22" s="87">
        <f t="shared" si="1"/>
        <v>4.9000000000000004</v>
      </c>
      <c r="G22" s="85">
        <v>73.5</v>
      </c>
      <c r="H22" s="35"/>
      <c r="I22" s="35"/>
      <c r="J22" s="87"/>
      <c r="K22" s="85">
        <v>1</v>
      </c>
      <c r="L22" s="35">
        <v>4.5999999999999996</v>
      </c>
      <c r="M22" s="35">
        <v>8.9</v>
      </c>
      <c r="N22" s="87">
        <f t="shared" si="11"/>
        <v>14.5</v>
      </c>
      <c r="O22" s="77">
        <v>6.2</v>
      </c>
      <c r="P22" s="35">
        <v>7.8</v>
      </c>
      <c r="Q22" s="35">
        <v>406.2</v>
      </c>
    </row>
    <row r="23" spans="1:17" ht="18.75" x14ac:dyDescent="0.3">
      <c r="A23" s="37" t="s">
        <v>108</v>
      </c>
      <c r="B23" s="74">
        <f t="shared" si="7"/>
        <v>7199.5000000000009</v>
      </c>
      <c r="C23" s="85">
        <v>1475.7</v>
      </c>
      <c r="D23" s="35">
        <v>180.2</v>
      </c>
      <c r="E23" s="35">
        <v>170.4</v>
      </c>
      <c r="F23" s="87">
        <f t="shared" ref="F23:F29" si="12">C23+D23+E23</f>
        <v>1826.3000000000002</v>
      </c>
      <c r="G23" s="85">
        <v>16</v>
      </c>
      <c r="H23" s="35">
        <v>1275.5</v>
      </c>
      <c r="I23" s="35"/>
      <c r="J23" s="87">
        <f>G23+H23+I23</f>
        <v>1291.5</v>
      </c>
      <c r="K23" s="85">
        <v>401.5</v>
      </c>
      <c r="L23" s="35">
        <v>1151.8</v>
      </c>
      <c r="M23" s="35">
        <v>2096.4</v>
      </c>
      <c r="N23" s="87">
        <f>K23+L23+M23</f>
        <v>3649.7</v>
      </c>
      <c r="O23" s="77">
        <v>8.1</v>
      </c>
      <c r="P23" s="35">
        <v>169.8</v>
      </c>
      <c r="Q23" s="35">
        <v>254.1</v>
      </c>
    </row>
    <row r="24" spans="1:17" ht="18.75" x14ac:dyDescent="0.3">
      <c r="A24" s="118" t="s">
        <v>175</v>
      </c>
      <c r="B24" s="74">
        <f t="shared" si="7"/>
        <v>654.79999999999995</v>
      </c>
      <c r="C24" s="85">
        <v>525.1</v>
      </c>
      <c r="D24" s="35"/>
      <c r="E24" s="35"/>
      <c r="F24" s="87">
        <f t="shared" si="12"/>
        <v>525.1</v>
      </c>
      <c r="G24" s="85"/>
      <c r="H24" s="35"/>
      <c r="I24" s="35"/>
      <c r="J24" s="87">
        <f t="shared" ref="J24:J29" si="13">G24+H24+I24</f>
        <v>0</v>
      </c>
      <c r="K24" s="85"/>
      <c r="L24" s="35"/>
      <c r="M24" s="35"/>
      <c r="N24" s="87">
        <f t="shared" ref="N24:N29" si="14">K24+L24+M24</f>
        <v>0</v>
      </c>
      <c r="O24" s="77">
        <v>129.69999999999999</v>
      </c>
      <c r="P24" s="35"/>
      <c r="Q24" s="35"/>
    </row>
    <row r="25" spans="1:17" ht="18.75" x14ac:dyDescent="0.3">
      <c r="A25" s="37" t="s">
        <v>297</v>
      </c>
      <c r="B25" s="74">
        <f t="shared" si="7"/>
        <v>527</v>
      </c>
      <c r="C25" s="85">
        <v>93.6</v>
      </c>
      <c r="D25" s="35">
        <v>44.5</v>
      </c>
      <c r="E25" s="35">
        <v>48.1</v>
      </c>
      <c r="F25" s="87">
        <f t="shared" si="12"/>
        <v>186.2</v>
      </c>
      <c r="G25" s="85">
        <v>-48.9</v>
      </c>
      <c r="H25" s="35">
        <v>29.3</v>
      </c>
      <c r="I25" s="35">
        <v>33</v>
      </c>
      <c r="J25" s="87">
        <f t="shared" si="13"/>
        <v>13.400000000000002</v>
      </c>
      <c r="K25" s="85">
        <v>17.600000000000001</v>
      </c>
      <c r="L25" s="35">
        <v>82.5</v>
      </c>
      <c r="M25" s="35">
        <v>84.9</v>
      </c>
      <c r="N25" s="87">
        <f t="shared" si="14"/>
        <v>185</v>
      </c>
      <c r="O25" s="77">
        <v>75.2</v>
      </c>
      <c r="P25" s="35">
        <v>32.5</v>
      </c>
      <c r="Q25" s="35">
        <v>34.700000000000003</v>
      </c>
    </row>
    <row r="26" spans="1:17" ht="18.75" x14ac:dyDescent="0.3">
      <c r="A26" s="37" t="s">
        <v>298</v>
      </c>
      <c r="B26" s="74">
        <f t="shared" si="7"/>
        <v>1180.1999999999998</v>
      </c>
      <c r="C26" s="91"/>
      <c r="D26" s="35"/>
      <c r="E26" s="48"/>
      <c r="F26" s="87">
        <f t="shared" si="12"/>
        <v>0</v>
      </c>
      <c r="G26" s="91">
        <v>272.8</v>
      </c>
      <c r="H26" s="48">
        <f>13.9+62.8</f>
        <v>76.7</v>
      </c>
      <c r="I26" s="48">
        <v>41.4</v>
      </c>
      <c r="J26" s="87"/>
      <c r="K26" s="91"/>
      <c r="L26" s="48">
        <f>213+95.2</f>
        <v>308.2</v>
      </c>
      <c r="M26" s="48"/>
      <c r="N26" s="87"/>
      <c r="O26" s="81">
        <f>312.1+173.4</f>
        <v>485.5</v>
      </c>
      <c r="P26" s="48">
        <v>-4.4000000000000004</v>
      </c>
      <c r="Q26" s="35"/>
    </row>
    <row r="27" spans="1:17" ht="19.5" thickBot="1" x14ac:dyDescent="0.35">
      <c r="A27" s="37" t="s">
        <v>178</v>
      </c>
      <c r="B27" s="74">
        <f t="shared" si="7"/>
        <v>0.6</v>
      </c>
      <c r="C27" s="91"/>
      <c r="D27" s="35"/>
      <c r="E27" s="48">
        <v>0.1</v>
      </c>
      <c r="F27" s="87">
        <f t="shared" si="12"/>
        <v>0.1</v>
      </c>
      <c r="G27" s="91"/>
      <c r="H27" s="48"/>
      <c r="I27" s="48"/>
      <c r="J27" s="87">
        <f t="shared" si="13"/>
        <v>0</v>
      </c>
      <c r="K27" s="91"/>
      <c r="L27" s="48"/>
      <c r="M27" s="48"/>
      <c r="N27" s="87">
        <f t="shared" si="14"/>
        <v>0</v>
      </c>
      <c r="O27" s="81"/>
      <c r="P27" s="48">
        <v>0.5</v>
      </c>
      <c r="Q27" s="35"/>
    </row>
    <row r="28" spans="1:17" ht="19.5" thickBot="1" x14ac:dyDescent="0.35">
      <c r="A28" s="49" t="s">
        <v>179</v>
      </c>
      <c r="B28" s="75">
        <f>SUM(B16:B27)</f>
        <v>16256.6</v>
      </c>
      <c r="C28" s="92">
        <f>SUM(C16:C27)</f>
        <v>2677.2999999999997</v>
      </c>
      <c r="D28" s="50">
        <f>SUM(D16:D27)</f>
        <v>826.09999999999991</v>
      </c>
      <c r="E28" s="50">
        <f>SUM(E16:E27)</f>
        <v>663</v>
      </c>
      <c r="F28" s="87">
        <f t="shared" si="12"/>
        <v>4166.3999999999996</v>
      </c>
      <c r="G28" s="92">
        <f>SUM(G16:G27)</f>
        <v>899.90000000000009</v>
      </c>
      <c r="H28" s="50">
        <f>SUM(H16:H27)</f>
        <v>2142.9</v>
      </c>
      <c r="I28" s="50">
        <f>SUM(I16:I27)</f>
        <v>507.2</v>
      </c>
      <c r="J28" s="87">
        <f t="shared" si="13"/>
        <v>3550</v>
      </c>
      <c r="K28" s="92">
        <f>SUM(K16:K27)</f>
        <v>853.5</v>
      </c>
      <c r="L28" s="50">
        <f>SUM(L16:L27)</f>
        <v>1869</v>
      </c>
      <c r="M28" s="50">
        <f>SUM(M16:M27)</f>
        <v>3589.6000000000004</v>
      </c>
      <c r="N28" s="87">
        <f t="shared" si="14"/>
        <v>6312.1</v>
      </c>
      <c r="O28" s="82">
        <f>SUM(O16:O27)</f>
        <v>1004</v>
      </c>
      <c r="P28" s="50">
        <f>SUM(P16:P27)</f>
        <v>706.2</v>
      </c>
      <c r="Q28" s="51">
        <f>SUM(Q16:Q27)</f>
        <v>517.9</v>
      </c>
    </row>
    <row r="29" spans="1:17" ht="19.5" thickBot="1" x14ac:dyDescent="0.35">
      <c r="A29" s="49" t="s">
        <v>180</v>
      </c>
      <c r="B29" s="75">
        <f>B28+B15</f>
        <v>283154.29999999993</v>
      </c>
      <c r="C29" s="92">
        <f>C28+C15</f>
        <v>11465.699999999999</v>
      </c>
      <c r="D29" s="50">
        <f>D28+D15</f>
        <v>20372.2</v>
      </c>
      <c r="E29" s="50">
        <f>E28+E15</f>
        <v>18697.599999999999</v>
      </c>
      <c r="F29" s="87">
        <f t="shared" si="12"/>
        <v>50535.5</v>
      </c>
      <c r="G29" s="92">
        <f>G28+G15</f>
        <v>23760.900000000005</v>
      </c>
      <c r="H29" s="52">
        <f>H28+H15</f>
        <v>20896.5</v>
      </c>
      <c r="I29" s="50">
        <f>I28+I15</f>
        <v>20967.5</v>
      </c>
      <c r="J29" s="87">
        <f t="shared" si="13"/>
        <v>65624.900000000009</v>
      </c>
      <c r="K29" s="92">
        <f>K28+K15</f>
        <v>24544.599999999995</v>
      </c>
      <c r="L29" s="50">
        <f>L28+L15</f>
        <v>21285.299999999996</v>
      </c>
      <c r="M29" s="50">
        <f>M28+M15</f>
        <v>22572</v>
      </c>
      <c r="N29" s="87">
        <f t="shared" si="14"/>
        <v>68401.899999999994</v>
      </c>
      <c r="O29" s="82">
        <f>O28+O15</f>
        <v>29712.800000000007</v>
      </c>
      <c r="P29" s="50">
        <f>P28+P15</f>
        <v>28576.800000000007</v>
      </c>
      <c r="Q29" s="51">
        <f>Q28+Q15</f>
        <v>40302.400000000009</v>
      </c>
    </row>
    <row r="30" spans="1:17" ht="18.75" x14ac:dyDescent="0.3">
      <c r="A30" s="60"/>
      <c r="B30" s="199"/>
      <c r="C30" s="61"/>
      <c r="D30" s="61"/>
      <c r="E30" s="61"/>
      <c r="F30" s="61"/>
      <c r="G30" s="61"/>
      <c r="H30" s="200"/>
      <c r="I30" s="61"/>
      <c r="J30" s="61"/>
      <c r="K30" s="61"/>
      <c r="L30" s="61"/>
      <c r="M30" s="61"/>
      <c r="N30" s="61"/>
      <c r="O30" s="61"/>
      <c r="P30" s="61"/>
      <c r="Q30" s="61"/>
    </row>
    <row r="31" spans="1:17" ht="18.75" x14ac:dyDescent="0.3">
      <c r="A31" s="201"/>
      <c r="B31" s="202"/>
      <c r="C31" s="203"/>
      <c r="D31" s="203"/>
      <c r="E31" s="203"/>
      <c r="F31" s="61"/>
      <c r="G31" s="203"/>
      <c r="H31" s="203"/>
      <c r="I31" s="203"/>
      <c r="J31" s="61"/>
      <c r="K31" s="203"/>
      <c r="L31" s="203"/>
      <c r="M31" s="203"/>
      <c r="N31" s="61"/>
      <c r="O31" s="203"/>
      <c r="P31" s="203"/>
      <c r="Q31" s="203"/>
    </row>
    <row r="32" spans="1:17" ht="15" x14ac:dyDescent="0.2">
      <c r="A32" s="26" t="s">
        <v>199</v>
      </c>
    </row>
    <row r="33" spans="1:18" ht="13.5" thickBot="1" x14ac:dyDescent="0.25"/>
    <row r="34" spans="1:18" ht="15.75" thickBot="1" x14ac:dyDescent="0.25">
      <c r="A34" s="27"/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8"/>
      <c r="P34" s="28"/>
      <c r="Q34" s="29"/>
    </row>
    <row r="35" spans="1:18" ht="25.5" x14ac:dyDescent="0.2">
      <c r="A35" s="27" t="s">
        <v>148</v>
      </c>
      <c r="B35" s="73" t="s">
        <v>200</v>
      </c>
      <c r="C35" s="83" t="s">
        <v>150</v>
      </c>
      <c r="D35" s="84" t="s">
        <v>151</v>
      </c>
      <c r="E35" s="84" t="s">
        <v>152</v>
      </c>
      <c r="F35" s="120" t="s">
        <v>202</v>
      </c>
      <c r="G35" s="83" t="s">
        <v>153</v>
      </c>
      <c r="H35" s="84" t="s">
        <v>154</v>
      </c>
      <c r="I35" s="84" t="s">
        <v>155</v>
      </c>
      <c r="J35" s="120" t="s">
        <v>217</v>
      </c>
      <c r="K35" s="83" t="s">
        <v>156</v>
      </c>
      <c r="L35" s="84" t="s">
        <v>157</v>
      </c>
      <c r="M35" s="84" t="s">
        <v>158</v>
      </c>
      <c r="N35" s="123" t="s">
        <v>218</v>
      </c>
      <c r="O35" s="76" t="s">
        <v>159</v>
      </c>
      <c r="P35" s="32" t="s">
        <v>160</v>
      </c>
      <c r="Q35" s="32" t="s">
        <v>161</v>
      </c>
    </row>
    <row r="36" spans="1:18" ht="18.75" x14ac:dyDescent="0.3">
      <c r="A36" s="33" t="s">
        <v>100</v>
      </c>
      <c r="B36" s="74">
        <f t="shared" ref="B36:B42" si="15">C36+D36+E36+G36+H36+I36+K36+L36+M36+O36+P36+Q36</f>
        <v>164912.52999999997</v>
      </c>
      <c r="C36" s="85">
        <v>3672.8</v>
      </c>
      <c r="D36" s="35">
        <v>12554</v>
      </c>
      <c r="E36" s="35">
        <v>11956.8</v>
      </c>
      <c r="F36" s="87">
        <f t="shared" ref="F36:F52" si="16">C36+D36+E36</f>
        <v>28183.599999999999</v>
      </c>
      <c r="G36" s="85">
        <v>17428.5</v>
      </c>
      <c r="H36" s="36">
        <v>10603.6</v>
      </c>
      <c r="I36" s="35">
        <v>14322.2</v>
      </c>
      <c r="J36" s="87">
        <f>G36+H36+I36</f>
        <v>42354.3</v>
      </c>
      <c r="K36" s="85">
        <v>13985.8</v>
      </c>
      <c r="L36" s="35">
        <v>12564.5</v>
      </c>
      <c r="M36" s="35">
        <v>12390.2</v>
      </c>
      <c r="N36" s="87">
        <f>K36+L36+M36</f>
        <v>38940.5</v>
      </c>
      <c r="O36" s="77">
        <v>14807.9</v>
      </c>
      <c r="P36" s="35">
        <v>12792.83</v>
      </c>
      <c r="Q36" s="35">
        <v>27833.4</v>
      </c>
      <c r="R36" s="131"/>
    </row>
    <row r="37" spans="1:18" ht="18.75" x14ac:dyDescent="0.3">
      <c r="A37" s="37" t="s">
        <v>101</v>
      </c>
      <c r="B37" s="74">
        <f t="shared" si="15"/>
        <v>15503.800000000001</v>
      </c>
      <c r="C37" s="85">
        <v>1165.3</v>
      </c>
      <c r="D37" s="35">
        <v>8.3000000000000007</v>
      </c>
      <c r="E37" s="35">
        <v>2237.1</v>
      </c>
      <c r="F37" s="87">
        <f t="shared" si="16"/>
        <v>3410.7</v>
      </c>
      <c r="G37" s="85">
        <v>1280.2</v>
      </c>
      <c r="H37" s="35">
        <v>1247.0999999999999</v>
      </c>
      <c r="I37" s="35">
        <v>1218</v>
      </c>
      <c r="J37" s="87">
        <f t="shared" ref="J37:J70" si="17">G37+H37+I37</f>
        <v>3745.3</v>
      </c>
      <c r="K37" s="85">
        <v>1318.1</v>
      </c>
      <c r="L37" s="35">
        <v>1327.7</v>
      </c>
      <c r="M37" s="35">
        <v>1477.9</v>
      </c>
      <c r="N37" s="87">
        <f t="shared" ref="N37:N70" si="18">K37+L37+M37</f>
        <v>4123.7000000000007</v>
      </c>
      <c r="O37" s="77">
        <v>1411</v>
      </c>
      <c r="P37" s="35">
        <v>1436.7</v>
      </c>
      <c r="Q37" s="35">
        <v>1376.4</v>
      </c>
    </row>
    <row r="38" spans="1:18" ht="18.75" x14ac:dyDescent="0.3">
      <c r="A38" s="38" t="s">
        <v>162</v>
      </c>
      <c r="B38" s="74">
        <f t="shared" si="15"/>
        <v>9211.6</v>
      </c>
      <c r="C38" s="85">
        <v>439.9</v>
      </c>
      <c r="D38" s="35">
        <v>184.7</v>
      </c>
      <c r="E38" s="35">
        <v>570.9</v>
      </c>
      <c r="F38" s="87">
        <f t="shared" si="16"/>
        <v>1195.5</v>
      </c>
      <c r="G38" s="85">
        <v>2248.6999999999998</v>
      </c>
      <c r="H38" s="35">
        <v>350.7</v>
      </c>
      <c r="I38" s="35">
        <v>219</v>
      </c>
      <c r="J38" s="87">
        <f t="shared" si="17"/>
        <v>2818.3999999999996</v>
      </c>
      <c r="K38" s="85">
        <v>1759.9</v>
      </c>
      <c r="L38" s="35">
        <v>543.1</v>
      </c>
      <c r="M38" s="35">
        <v>194.1</v>
      </c>
      <c r="N38" s="87">
        <f t="shared" si="18"/>
        <v>2497.1</v>
      </c>
      <c r="O38" s="77">
        <v>1822.9</v>
      </c>
      <c r="P38" s="35">
        <v>116.5</v>
      </c>
      <c r="Q38" s="35">
        <v>761.2</v>
      </c>
    </row>
    <row r="39" spans="1:18" ht="18.75" x14ac:dyDescent="0.3">
      <c r="A39" s="37" t="s">
        <v>163</v>
      </c>
      <c r="B39" s="74">
        <f t="shared" si="15"/>
        <v>2148.4</v>
      </c>
      <c r="C39" s="85">
        <v>1596.7</v>
      </c>
      <c r="D39" s="35">
        <v>304.5</v>
      </c>
      <c r="E39" s="35">
        <v>56.7</v>
      </c>
      <c r="F39" s="87">
        <f t="shared" si="16"/>
        <v>1957.9</v>
      </c>
      <c r="G39" s="85">
        <v>46.3</v>
      </c>
      <c r="H39" s="35">
        <v>32.799999999999997</v>
      </c>
      <c r="I39" s="35">
        <v>14.4</v>
      </c>
      <c r="J39" s="87">
        <f t="shared" si="17"/>
        <v>93.5</v>
      </c>
      <c r="K39" s="85">
        <v>19.100000000000001</v>
      </c>
      <c r="L39" s="35">
        <v>4.5999999999999996</v>
      </c>
      <c r="M39" s="35">
        <v>6.8</v>
      </c>
      <c r="N39" s="87">
        <f t="shared" si="18"/>
        <v>30.500000000000004</v>
      </c>
      <c r="O39" s="77">
        <v>17.100000000000001</v>
      </c>
      <c r="P39" s="35">
        <v>14</v>
      </c>
      <c r="Q39" s="35">
        <v>35.4</v>
      </c>
    </row>
    <row r="40" spans="1:18" ht="18.75" x14ac:dyDescent="0.3">
      <c r="A40" s="33" t="s">
        <v>164</v>
      </c>
      <c r="B40" s="74">
        <f t="shared" si="15"/>
        <v>258.39999999999998</v>
      </c>
      <c r="C40" s="85"/>
      <c r="D40" s="35">
        <v>85.7</v>
      </c>
      <c r="E40" s="35">
        <v>144</v>
      </c>
      <c r="F40" s="87">
        <f t="shared" si="16"/>
        <v>229.7</v>
      </c>
      <c r="G40" s="85">
        <v>0.7</v>
      </c>
      <c r="H40" s="35">
        <v>5.2</v>
      </c>
      <c r="I40" s="35"/>
      <c r="J40" s="87">
        <f t="shared" si="17"/>
        <v>5.9</v>
      </c>
      <c r="K40" s="85">
        <v>2.2999999999999998</v>
      </c>
      <c r="L40" s="35">
        <v>-1.7</v>
      </c>
      <c r="M40" s="35"/>
      <c r="N40" s="87">
        <f t="shared" si="18"/>
        <v>0.59999999999999987</v>
      </c>
      <c r="O40" s="77">
        <v>6.6</v>
      </c>
      <c r="P40" s="35">
        <v>18.8</v>
      </c>
      <c r="Q40" s="35">
        <v>-3.2</v>
      </c>
    </row>
    <row r="41" spans="1:18" ht="31.5" x14ac:dyDescent="0.3">
      <c r="A41" s="33" t="s">
        <v>165</v>
      </c>
      <c r="B41" s="74">
        <f t="shared" si="15"/>
        <v>2749.1</v>
      </c>
      <c r="C41" s="85">
        <v>6.6</v>
      </c>
      <c r="D41" s="35">
        <v>117.5</v>
      </c>
      <c r="E41" s="35">
        <v>478.7</v>
      </c>
      <c r="F41" s="87">
        <f t="shared" si="16"/>
        <v>602.79999999999995</v>
      </c>
      <c r="G41" s="85">
        <v>321.5</v>
      </c>
      <c r="H41" s="35">
        <v>37.299999999999997</v>
      </c>
      <c r="I41" s="35">
        <v>401.5</v>
      </c>
      <c r="J41" s="87">
        <f t="shared" si="17"/>
        <v>760.3</v>
      </c>
      <c r="K41" s="85">
        <v>136.80000000000001</v>
      </c>
      <c r="L41" s="35">
        <v>32.1</v>
      </c>
      <c r="M41" s="35">
        <v>205</v>
      </c>
      <c r="N41" s="87">
        <f t="shared" si="18"/>
        <v>373.9</v>
      </c>
      <c r="O41" s="77">
        <v>116.7</v>
      </c>
      <c r="P41" s="35">
        <v>4.9000000000000004</v>
      </c>
      <c r="Q41" s="35">
        <v>890.5</v>
      </c>
    </row>
    <row r="42" spans="1:18" ht="18.75" x14ac:dyDescent="0.3">
      <c r="A42" s="37" t="s">
        <v>166</v>
      </c>
      <c r="B42" s="74">
        <f t="shared" si="15"/>
        <v>6346.4</v>
      </c>
      <c r="C42" s="85">
        <v>138.1</v>
      </c>
      <c r="D42" s="35">
        <v>111.2</v>
      </c>
      <c r="E42" s="35">
        <v>218</v>
      </c>
      <c r="F42" s="87">
        <f t="shared" si="16"/>
        <v>467.3</v>
      </c>
      <c r="G42" s="85">
        <v>44</v>
      </c>
      <c r="H42" s="35">
        <v>16.7</v>
      </c>
      <c r="I42" s="35">
        <v>280.39999999999998</v>
      </c>
      <c r="J42" s="87">
        <f t="shared" si="17"/>
        <v>341.09999999999997</v>
      </c>
      <c r="K42" s="85">
        <v>93.2</v>
      </c>
      <c r="L42" s="35">
        <v>157.4</v>
      </c>
      <c r="M42" s="35">
        <v>169.1</v>
      </c>
      <c r="N42" s="87">
        <f t="shared" si="18"/>
        <v>419.70000000000005</v>
      </c>
      <c r="O42" s="77">
        <v>1421.9</v>
      </c>
      <c r="P42" s="35">
        <v>2322.9</v>
      </c>
      <c r="Q42" s="35">
        <v>1373.5</v>
      </c>
    </row>
    <row r="43" spans="1:18" ht="18.75" x14ac:dyDescent="0.3">
      <c r="A43" s="37" t="s">
        <v>167</v>
      </c>
      <c r="B43" s="121">
        <f>B44+B45</f>
        <v>28040.7</v>
      </c>
      <c r="C43" s="86">
        <f>C44+C45</f>
        <v>1088.3</v>
      </c>
      <c r="D43" s="51">
        <f t="shared" ref="D43:Q43" si="19">D44+D45</f>
        <v>910.7</v>
      </c>
      <c r="E43" s="51">
        <f t="shared" si="19"/>
        <v>777.5</v>
      </c>
      <c r="F43" s="87">
        <f t="shared" si="16"/>
        <v>2776.5</v>
      </c>
      <c r="G43" s="86">
        <f t="shared" si="19"/>
        <v>1369.3000000000002</v>
      </c>
      <c r="H43" s="51">
        <f t="shared" si="19"/>
        <v>209.5</v>
      </c>
      <c r="I43" s="51">
        <f t="shared" si="19"/>
        <v>336.7</v>
      </c>
      <c r="J43" s="87">
        <f t="shared" si="19"/>
        <v>1915.5000000000002</v>
      </c>
      <c r="K43" s="86">
        <f t="shared" si="19"/>
        <v>7396</v>
      </c>
      <c r="L43" s="51">
        <f t="shared" si="19"/>
        <v>609.4</v>
      </c>
      <c r="M43" s="51">
        <f t="shared" si="19"/>
        <v>535.1</v>
      </c>
      <c r="N43" s="87">
        <f t="shared" si="19"/>
        <v>8540.5</v>
      </c>
      <c r="O43" s="78">
        <f t="shared" si="19"/>
        <v>8543.0999999999985</v>
      </c>
      <c r="P43" s="51">
        <f t="shared" si="19"/>
        <v>4032.7</v>
      </c>
      <c r="Q43" s="51">
        <f t="shared" si="19"/>
        <v>2232.4</v>
      </c>
    </row>
    <row r="44" spans="1:18" ht="18.75" x14ac:dyDescent="0.3">
      <c r="A44" s="37" t="s">
        <v>168</v>
      </c>
      <c r="B44" s="74">
        <f>C44+D44+E44+G44+H44+I44+K44+L44+M44+O44+P44+Q44</f>
        <v>16585.7</v>
      </c>
      <c r="C44" s="85">
        <v>681.8</v>
      </c>
      <c r="D44" s="35">
        <v>756.2</v>
      </c>
      <c r="E44" s="35">
        <v>650.29999999999995</v>
      </c>
      <c r="F44" s="87">
        <f t="shared" si="16"/>
        <v>2088.3000000000002</v>
      </c>
      <c r="G44" s="85">
        <v>1224.9000000000001</v>
      </c>
      <c r="H44" s="35">
        <v>127.4</v>
      </c>
      <c r="I44" s="35">
        <v>266.7</v>
      </c>
      <c r="J44" s="87">
        <f t="shared" si="17"/>
        <v>1619.0000000000002</v>
      </c>
      <c r="K44" s="85">
        <v>7309.9</v>
      </c>
      <c r="L44" s="35">
        <v>315.2</v>
      </c>
      <c r="M44" s="35">
        <v>48.1</v>
      </c>
      <c r="N44" s="87">
        <f t="shared" si="18"/>
        <v>7673.2</v>
      </c>
      <c r="O44" s="77">
        <v>4584.8999999999996</v>
      </c>
      <c r="P44" s="35">
        <v>118.6</v>
      </c>
      <c r="Q44" s="35">
        <v>501.7</v>
      </c>
    </row>
    <row r="45" spans="1:18" ht="18.75" x14ac:dyDescent="0.3">
      <c r="A45" s="37" t="s">
        <v>169</v>
      </c>
      <c r="B45" s="74">
        <f>C45+D45+E45+G45+H45+I45+K45+L45+M45+O45+P45+Q45</f>
        <v>11455</v>
      </c>
      <c r="C45" s="85">
        <v>406.5</v>
      </c>
      <c r="D45" s="35">
        <v>154.5</v>
      </c>
      <c r="E45" s="35">
        <v>127.2</v>
      </c>
      <c r="F45" s="87">
        <f t="shared" si="16"/>
        <v>688.2</v>
      </c>
      <c r="G45" s="85">
        <v>144.4</v>
      </c>
      <c r="H45" s="35">
        <v>82.1</v>
      </c>
      <c r="I45" s="35">
        <v>70</v>
      </c>
      <c r="J45" s="87">
        <f t="shared" si="17"/>
        <v>296.5</v>
      </c>
      <c r="K45" s="85">
        <v>86.1</v>
      </c>
      <c r="L45" s="35">
        <v>294.2</v>
      </c>
      <c r="M45" s="35">
        <v>487</v>
      </c>
      <c r="N45" s="87">
        <f t="shared" si="18"/>
        <v>867.3</v>
      </c>
      <c r="O45" s="77">
        <v>3958.2</v>
      </c>
      <c r="P45" s="35">
        <v>3914.1</v>
      </c>
      <c r="Q45" s="35">
        <v>1730.7</v>
      </c>
    </row>
    <row r="46" spans="1:18" ht="19.5" thickBot="1" x14ac:dyDescent="0.35">
      <c r="A46" s="37" t="s">
        <v>105</v>
      </c>
      <c r="B46" s="74">
        <f>C46+D46+E46+G46+H46+I46+K46+L46+M46+O46+P46+Q46</f>
        <v>1751.3000000000004</v>
      </c>
      <c r="C46" s="85">
        <v>55.2</v>
      </c>
      <c r="D46" s="35">
        <v>102.4</v>
      </c>
      <c r="E46" s="35">
        <v>197.7</v>
      </c>
      <c r="F46" s="87">
        <f t="shared" si="16"/>
        <v>355.3</v>
      </c>
      <c r="G46" s="85">
        <v>61.4</v>
      </c>
      <c r="H46" s="35">
        <v>143.5</v>
      </c>
      <c r="I46" s="35">
        <v>106.7</v>
      </c>
      <c r="J46" s="87">
        <f t="shared" si="17"/>
        <v>311.60000000000002</v>
      </c>
      <c r="K46" s="85">
        <v>112.2</v>
      </c>
      <c r="L46" s="35">
        <v>230.7</v>
      </c>
      <c r="M46" s="35">
        <v>279.7</v>
      </c>
      <c r="N46" s="87">
        <f t="shared" si="18"/>
        <v>622.59999999999991</v>
      </c>
      <c r="O46" s="77">
        <v>160.69999999999999</v>
      </c>
      <c r="P46" s="35">
        <v>106.7</v>
      </c>
      <c r="Q46" s="35">
        <v>194.4</v>
      </c>
    </row>
    <row r="47" spans="1:18" ht="19.5" thickBot="1" x14ac:dyDescent="0.35">
      <c r="A47" s="39" t="s">
        <v>145</v>
      </c>
      <c r="B47" s="75">
        <f>B36+B37+B39+B40+B41+B42+B43+B46+B38</f>
        <v>230922.22999999995</v>
      </c>
      <c r="C47" s="88">
        <f t="shared" ref="C47:E47" si="20">C36+C37+C39+C40+C41+C42+C43+C46+C38</f>
        <v>8162.9000000000005</v>
      </c>
      <c r="D47" s="41">
        <f t="shared" si="20"/>
        <v>14379.000000000002</v>
      </c>
      <c r="E47" s="41">
        <f t="shared" si="20"/>
        <v>16637.400000000001</v>
      </c>
      <c r="F47" s="87">
        <f t="shared" si="16"/>
        <v>39179.300000000003</v>
      </c>
      <c r="G47" s="88">
        <f t="shared" ref="G47:P47" si="21">G36+G37+G39+G40+G41+G42+G43+G46+G38</f>
        <v>22800.600000000002</v>
      </c>
      <c r="H47" s="42">
        <f t="shared" si="21"/>
        <v>12646.400000000001</v>
      </c>
      <c r="I47" s="41">
        <f t="shared" si="21"/>
        <v>16898.900000000001</v>
      </c>
      <c r="J47" s="122">
        <f t="shared" si="21"/>
        <v>52345.900000000009</v>
      </c>
      <c r="K47" s="88">
        <f t="shared" si="21"/>
        <v>24823.4</v>
      </c>
      <c r="L47" s="41">
        <f t="shared" si="21"/>
        <v>15467.800000000001</v>
      </c>
      <c r="M47" s="41">
        <f t="shared" si="21"/>
        <v>15257.900000000001</v>
      </c>
      <c r="N47" s="122">
        <f t="shared" si="21"/>
        <v>55549.099999999991</v>
      </c>
      <c r="O47" s="79">
        <f t="shared" si="21"/>
        <v>28307.9</v>
      </c>
      <c r="P47" s="41">
        <f t="shared" si="21"/>
        <v>20846.030000000002</v>
      </c>
      <c r="Q47" s="41">
        <f>Q36+Q37+Q39+Q40+Q41+Q42+Q43+Q46+Q38</f>
        <v>34694</v>
      </c>
    </row>
    <row r="48" spans="1:18" ht="18.75" x14ac:dyDescent="0.3">
      <c r="A48" s="43" t="s">
        <v>170</v>
      </c>
      <c r="B48" s="74">
        <f t="shared" ref="B48:B57" si="22">C48+D48+E48+G48+H48+I48+K48+L48+M48+O48+P48+Q48</f>
        <v>78</v>
      </c>
      <c r="C48" s="89"/>
      <c r="D48" s="44"/>
      <c r="E48" s="44"/>
      <c r="F48" s="87">
        <f t="shared" si="16"/>
        <v>0</v>
      </c>
      <c r="G48" s="89">
        <v>78</v>
      </c>
      <c r="H48" s="44"/>
      <c r="I48" s="44"/>
      <c r="J48" s="87">
        <f t="shared" si="17"/>
        <v>78</v>
      </c>
      <c r="K48" s="89"/>
      <c r="L48" s="44"/>
      <c r="M48" s="44"/>
      <c r="N48" s="87">
        <f t="shared" si="18"/>
        <v>0</v>
      </c>
      <c r="O48" s="80"/>
      <c r="P48" s="44"/>
      <c r="Q48" s="35"/>
    </row>
    <row r="49" spans="1:18" ht="18.75" x14ac:dyDescent="0.3">
      <c r="A49" s="45" t="s">
        <v>171</v>
      </c>
      <c r="B49" s="74">
        <f t="shared" si="22"/>
        <v>3552.6</v>
      </c>
      <c r="C49" s="90">
        <v>231.3</v>
      </c>
      <c r="D49" s="47">
        <v>329.4</v>
      </c>
      <c r="E49" s="46">
        <v>298.2</v>
      </c>
      <c r="F49" s="87">
        <f t="shared" si="16"/>
        <v>858.90000000000009</v>
      </c>
      <c r="G49" s="90">
        <v>304.89999999999998</v>
      </c>
      <c r="H49" s="46">
        <v>253.1</v>
      </c>
      <c r="I49" s="46">
        <v>318.7</v>
      </c>
      <c r="J49" s="87">
        <f t="shared" si="17"/>
        <v>876.7</v>
      </c>
      <c r="K49" s="90">
        <v>295.39999999999998</v>
      </c>
      <c r="L49" s="46">
        <v>291</v>
      </c>
      <c r="M49" s="46">
        <v>267.5</v>
      </c>
      <c r="N49" s="87">
        <f t="shared" si="18"/>
        <v>853.9</v>
      </c>
      <c r="O49" s="77">
        <v>286.39999999999998</v>
      </c>
      <c r="P49" s="35">
        <v>352.1</v>
      </c>
      <c r="Q49" s="35">
        <v>324.60000000000002</v>
      </c>
    </row>
    <row r="50" spans="1:18" ht="18.75" x14ac:dyDescent="0.3">
      <c r="A50" s="37" t="s">
        <v>172</v>
      </c>
      <c r="B50" s="74">
        <f t="shared" si="22"/>
        <v>1291.1000000000001</v>
      </c>
      <c r="C50" s="85">
        <v>61.9</v>
      </c>
      <c r="D50" s="35">
        <v>140.9</v>
      </c>
      <c r="E50" s="35">
        <v>87.5</v>
      </c>
      <c r="F50" s="87">
        <f t="shared" si="16"/>
        <v>290.3</v>
      </c>
      <c r="G50" s="85">
        <v>173</v>
      </c>
      <c r="H50" s="35">
        <v>72.400000000000006</v>
      </c>
      <c r="I50" s="35">
        <v>77.5</v>
      </c>
      <c r="J50" s="87">
        <f t="shared" si="17"/>
        <v>322.89999999999998</v>
      </c>
      <c r="K50" s="85">
        <v>118.9</v>
      </c>
      <c r="L50" s="35">
        <v>148.1</v>
      </c>
      <c r="M50" s="35">
        <v>67.099999999999994</v>
      </c>
      <c r="N50" s="87">
        <f t="shared" si="18"/>
        <v>334.1</v>
      </c>
      <c r="O50" s="77">
        <v>83.1</v>
      </c>
      <c r="P50" s="35">
        <v>71.3</v>
      </c>
      <c r="Q50" s="35">
        <v>189.4</v>
      </c>
    </row>
    <row r="51" spans="1:18" ht="47.25" x14ac:dyDescent="0.3">
      <c r="A51" s="33" t="s">
        <v>176</v>
      </c>
      <c r="B51" s="74">
        <f t="shared" si="22"/>
        <v>23.700000000000003</v>
      </c>
      <c r="C51" s="85">
        <v>1.5</v>
      </c>
      <c r="D51" s="35">
        <v>2.9</v>
      </c>
      <c r="E51" s="35">
        <v>3.8</v>
      </c>
      <c r="F51" s="87">
        <f t="shared" si="16"/>
        <v>8.1999999999999993</v>
      </c>
      <c r="G51" s="85">
        <v>-1.5</v>
      </c>
      <c r="H51" s="35">
        <v>13</v>
      </c>
      <c r="I51" s="35">
        <v>0.1</v>
      </c>
      <c r="J51" s="87">
        <f>G51+H51+I51</f>
        <v>11.6</v>
      </c>
      <c r="K51" s="85">
        <v>1.8</v>
      </c>
      <c r="L51" s="35"/>
      <c r="M51" s="35">
        <v>0.7</v>
      </c>
      <c r="N51" s="87">
        <f>K51+L51+M51</f>
        <v>2.5</v>
      </c>
      <c r="O51" s="77">
        <v>1.3</v>
      </c>
      <c r="P51" s="35">
        <v>0.1</v>
      </c>
      <c r="Q51" s="35"/>
    </row>
    <row r="52" spans="1:18" ht="18.75" x14ac:dyDescent="0.3">
      <c r="A52" s="37" t="s">
        <v>174</v>
      </c>
      <c r="B52" s="74">
        <f t="shared" si="22"/>
        <v>385.5</v>
      </c>
      <c r="C52" s="85">
        <v>0.2</v>
      </c>
      <c r="D52" s="35">
        <v>28.9</v>
      </c>
      <c r="E52" s="35">
        <v>13.9</v>
      </c>
      <c r="F52" s="87">
        <f t="shared" si="16"/>
        <v>43</v>
      </c>
      <c r="G52" s="85">
        <v>70.8</v>
      </c>
      <c r="H52" s="35">
        <v>42.1</v>
      </c>
      <c r="I52" s="35">
        <v>0.1</v>
      </c>
      <c r="J52" s="87">
        <f t="shared" si="17"/>
        <v>113</v>
      </c>
      <c r="K52" s="85">
        <v>0.7</v>
      </c>
      <c r="L52" s="35">
        <v>40.4</v>
      </c>
      <c r="M52" s="35">
        <v>1.1000000000000001</v>
      </c>
      <c r="N52" s="87">
        <f t="shared" si="18"/>
        <v>42.2</v>
      </c>
      <c r="O52" s="77">
        <v>0.2</v>
      </c>
      <c r="P52" s="35">
        <f>15.6-6.3</f>
        <v>9.3000000000000007</v>
      </c>
      <c r="Q52" s="35">
        <v>177.8</v>
      </c>
    </row>
    <row r="53" spans="1:18" ht="18.75" x14ac:dyDescent="0.3">
      <c r="A53" s="37" t="s">
        <v>232</v>
      </c>
      <c r="B53" s="74">
        <f t="shared" si="22"/>
        <v>4806.3</v>
      </c>
      <c r="C53" s="85"/>
      <c r="D53" s="35"/>
      <c r="E53" s="35"/>
      <c r="F53" s="87"/>
      <c r="G53" s="85"/>
      <c r="H53" s="35"/>
      <c r="I53" s="35"/>
      <c r="J53" s="87"/>
      <c r="K53" s="85"/>
      <c r="L53" s="35"/>
      <c r="M53" s="35"/>
      <c r="N53" s="87"/>
      <c r="O53" s="77"/>
      <c r="P53" s="35">
        <v>6.3</v>
      </c>
      <c r="Q53" s="35">
        <v>4800</v>
      </c>
    </row>
    <row r="54" spans="1:18" ht="18.75" x14ac:dyDescent="0.3">
      <c r="A54" s="37" t="s">
        <v>108</v>
      </c>
      <c r="B54" s="74">
        <f t="shared" si="22"/>
        <v>2685.7000000000003</v>
      </c>
      <c r="C54" s="85">
        <v>216.7</v>
      </c>
      <c r="D54" s="35">
        <v>42.1</v>
      </c>
      <c r="E54" s="35">
        <v>723.4</v>
      </c>
      <c r="F54" s="87">
        <f t="shared" ref="F54:F59" si="23">C54+D54+E54</f>
        <v>982.2</v>
      </c>
      <c r="G54" s="85">
        <v>425.7</v>
      </c>
      <c r="H54" s="35">
        <v>59.8</v>
      </c>
      <c r="I54" s="35">
        <v>116.2</v>
      </c>
      <c r="J54" s="87">
        <f>G54+H54+I54</f>
        <v>601.70000000000005</v>
      </c>
      <c r="K54" s="85">
        <v>775.4</v>
      </c>
      <c r="L54" s="35">
        <v>38.6</v>
      </c>
      <c r="M54" s="35">
        <v>48.4</v>
      </c>
      <c r="N54" s="87">
        <f>K54+L54+M54</f>
        <v>862.4</v>
      </c>
      <c r="O54" s="77">
        <v>74.599999999999994</v>
      </c>
      <c r="P54" s="35">
        <v>120.4</v>
      </c>
      <c r="Q54" s="35">
        <v>44.4</v>
      </c>
    </row>
    <row r="55" spans="1:18" ht="18.75" x14ac:dyDescent="0.3">
      <c r="A55" s="118" t="s">
        <v>175</v>
      </c>
      <c r="B55" s="74">
        <f t="shared" si="22"/>
        <v>1593</v>
      </c>
      <c r="C55" s="85"/>
      <c r="D55" s="35"/>
      <c r="E55" s="35"/>
      <c r="F55" s="87">
        <f t="shared" si="23"/>
        <v>0</v>
      </c>
      <c r="G55" s="85"/>
      <c r="H55" s="35">
        <v>7.8</v>
      </c>
      <c r="I55" s="35">
        <v>331.9</v>
      </c>
      <c r="J55" s="87">
        <f t="shared" si="17"/>
        <v>339.7</v>
      </c>
      <c r="K55" s="85">
        <v>1087.0999999999999</v>
      </c>
      <c r="L55" s="35">
        <v>166.2</v>
      </c>
      <c r="M55" s="35"/>
      <c r="N55" s="87">
        <f t="shared" si="18"/>
        <v>1253.3</v>
      </c>
      <c r="O55" s="77"/>
      <c r="P55" s="35"/>
      <c r="Q55" s="35"/>
    </row>
    <row r="56" spans="1:18" ht="18.75" x14ac:dyDescent="0.3">
      <c r="A56" s="37" t="s">
        <v>177</v>
      </c>
      <c r="B56" s="74">
        <f t="shared" si="22"/>
        <v>883.09999999999991</v>
      </c>
      <c r="C56" s="85">
        <v>4.7</v>
      </c>
      <c r="D56" s="35">
        <v>5.7</v>
      </c>
      <c r="E56" s="35">
        <v>55.1</v>
      </c>
      <c r="F56" s="87">
        <f t="shared" si="23"/>
        <v>65.5</v>
      </c>
      <c r="G56" s="85">
        <v>53</v>
      </c>
      <c r="H56" s="35">
        <v>44.2</v>
      </c>
      <c r="I56" s="35">
        <v>8</v>
      </c>
      <c r="J56" s="87">
        <f t="shared" si="17"/>
        <v>105.2</v>
      </c>
      <c r="K56" s="85">
        <v>9.6</v>
      </c>
      <c r="L56" s="35">
        <v>26.1</v>
      </c>
      <c r="M56" s="35">
        <v>49.6</v>
      </c>
      <c r="N56" s="87">
        <f t="shared" si="18"/>
        <v>85.300000000000011</v>
      </c>
      <c r="O56" s="77">
        <v>22.5</v>
      </c>
      <c r="P56" s="35">
        <v>181.2</v>
      </c>
      <c r="Q56" s="35">
        <v>423.4</v>
      </c>
    </row>
    <row r="57" spans="1:18" ht="19.5" thickBot="1" x14ac:dyDescent="0.35">
      <c r="A57" s="37" t="s">
        <v>178</v>
      </c>
      <c r="B57" s="74">
        <f t="shared" si="22"/>
        <v>12</v>
      </c>
      <c r="C57" s="91"/>
      <c r="D57" s="35"/>
      <c r="E57" s="48"/>
      <c r="F57" s="87">
        <f t="shared" si="23"/>
        <v>0</v>
      </c>
      <c r="G57" s="91"/>
      <c r="H57" s="48"/>
      <c r="I57" s="48"/>
      <c r="J57" s="87">
        <f t="shared" si="17"/>
        <v>0</v>
      </c>
      <c r="K57" s="91"/>
      <c r="L57" s="48">
        <v>12</v>
      </c>
      <c r="M57" s="48"/>
      <c r="N57" s="87">
        <f t="shared" si="18"/>
        <v>12</v>
      </c>
      <c r="O57" s="81"/>
      <c r="P57" s="48"/>
      <c r="Q57" s="35"/>
    </row>
    <row r="58" spans="1:18" ht="19.5" thickBot="1" x14ac:dyDescent="0.35">
      <c r="A58" s="49" t="s">
        <v>179</v>
      </c>
      <c r="B58" s="75">
        <f>SUM(B48:B57)</f>
        <v>15311.000000000002</v>
      </c>
      <c r="C58" s="92">
        <f>SUM(C48:C57)</f>
        <v>516.29999999999995</v>
      </c>
      <c r="D58" s="50">
        <f>SUM(D48:D57)</f>
        <v>549.9</v>
      </c>
      <c r="E58" s="50">
        <f>SUM(E48:E57)</f>
        <v>1181.8999999999999</v>
      </c>
      <c r="F58" s="87">
        <f t="shared" si="23"/>
        <v>2248.0999999999995</v>
      </c>
      <c r="G58" s="92">
        <f>SUM(G48:G57)</f>
        <v>1103.8999999999999</v>
      </c>
      <c r="H58" s="50">
        <f>SUM(H48:H57)</f>
        <v>492.40000000000003</v>
      </c>
      <c r="I58" s="50">
        <f>SUM(I48:I57)</f>
        <v>852.5</v>
      </c>
      <c r="J58" s="87">
        <f t="shared" si="17"/>
        <v>2448.8000000000002</v>
      </c>
      <c r="K58" s="92">
        <f>SUM(K48:K57)</f>
        <v>2288.8999999999996</v>
      </c>
      <c r="L58" s="50">
        <f>SUM(L48:L57)</f>
        <v>722.4</v>
      </c>
      <c r="M58" s="50">
        <f>SUM(M48:M57)</f>
        <v>434.40000000000003</v>
      </c>
      <c r="N58" s="87">
        <f t="shared" si="18"/>
        <v>3445.7</v>
      </c>
      <c r="O58" s="82">
        <f>SUM(O48:O57)</f>
        <v>468.1</v>
      </c>
      <c r="P58" s="50">
        <f>SUM(P48:P57)</f>
        <v>740.7</v>
      </c>
      <c r="Q58" s="51">
        <f>SUM(Q48:Q57)</f>
        <v>5959.5999999999995</v>
      </c>
    </row>
    <row r="59" spans="1:18" ht="19.5" thickBot="1" x14ac:dyDescent="0.35">
      <c r="A59" s="49" t="s">
        <v>180</v>
      </c>
      <c r="B59" s="75">
        <f>B58+B47</f>
        <v>246233.22999999995</v>
      </c>
      <c r="C59" s="92">
        <f>C58+C47</f>
        <v>8679.2000000000007</v>
      </c>
      <c r="D59" s="50">
        <f>D58+D47</f>
        <v>14928.900000000001</v>
      </c>
      <c r="E59" s="50">
        <f>E58+E47</f>
        <v>17819.300000000003</v>
      </c>
      <c r="F59" s="87">
        <f t="shared" si="23"/>
        <v>41427.400000000009</v>
      </c>
      <c r="G59" s="92">
        <f>G58+G47</f>
        <v>23904.500000000004</v>
      </c>
      <c r="H59" s="52">
        <f>H58+H47</f>
        <v>13138.800000000001</v>
      </c>
      <c r="I59" s="50">
        <f>I58+I47</f>
        <v>17751.400000000001</v>
      </c>
      <c r="J59" s="87">
        <f t="shared" si="17"/>
        <v>54794.700000000004</v>
      </c>
      <c r="K59" s="92">
        <f>K58+K47</f>
        <v>27112.300000000003</v>
      </c>
      <c r="L59" s="50">
        <f>L58+L47</f>
        <v>16190.2</v>
      </c>
      <c r="M59" s="50">
        <f>M58+M47</f>
        <v>15692.300000000001</v>
      </c>
      <c r="N59" s="87">
        <f t="shared" si="18"/>
        <v>58994.8</v>
      </c>
      <c r="O59" s="82">
        <f>O58+O47</f>
        <v>28776</v>
      </c>
      <c r="P59" s="50">
        <f>P58+P47</f>
        <v>21586.730000000003</v>
      </c>
      <c r="Q59" s="51">
        <f>Q58+Q47</f>
        <v>40653.599999999999</v>
      </c>
    </row>
    <row r="60" spans="1:18" ht="19.5" thickBot="1" x14ac:dyDescent="0.35">
      <c r="A60" s="49"/>
      <c r="B60" s="124"/>
      <c r="C60" s="125"/>
      <c r="D60" s="126"/>
      <c r="E60" s="126"/>
      <c r="F60" s="127"/>
      <c r="G60" s="125"/>
      <c r="H60" s="128"/>
      <c r="I60" s="126"/>
      <c r="J60" s="127"/>
      <c r="K60" s="125"/>
      <c r="L60" s="126"/>
      <c r="M60" s="126"/>
      <c r="N60" s="127"/>
      <c r="O60" s="129"/>
      <c r="P60" s="130"/>
      <c r="Q60" s="51"/>
    </row>
    <row r="61" spans="1:18" ht="15" x14ac:dyDescent="0.2">
      <c r="A61" s="27"/>
      <c r="B61" s="73" t="s">
        <v>331</v>
      </c>
      <c r="C61" s="83" t="s">
        <v>150</v>
      </c>
      <c r="D61" s="84" t="s">
        <v>151</v>
      </c>
      <c r="E61" s="84" t="s">
        <v>152</v>
      </c>
      <c r="F61" s="120" t="s">
        <v>202</v>
      </c>
      <c r="G61" s="83" t="s">
        <v>153</v>
      </c>
      <c r="H61" s="84" t="s">
        <v>154</v>
      </c>
      <c r="I61" s="84" t="s">
        <v>155</v>
      </c>
      <c r="J61" s="120" t="s">
        <v>217</v>
      </c>
      <c r="K61" s="83" t="s">
        <v>156</v>
      </c>
      <c r="L61" s="84" t="s">
        <v>157</v>
      </c>
      <c r="M61" s="84" t="s">
        <v>158</v>
      </c>
      <c r="N61" s="123" t="s">
        <v>218</v>
      </c>
      <c r="O61" s="76" t="s">
        <v>159</v>
      </c>
      <c r="P61" s="32" t="s">
        <v>160</v>
      </c>
      <c r="Q61" s="32" t="s">
        <v>161</v>
      </c>
    </row>
    <row r="62" spans="1:18" ht="18.75" x14ac:dyDescent="0.3">
      <c r="A62" s="2" t="s">
        <v>436</v>
      </c>
      <c r="B62" s="74">
        <f>C62+D62+E62+G62+H62+I62+K62+L62+M62+O62+P62+Q62</f>
        <v>210721.4872</v>
      </c>
      <c r="C62" s="85">
        <v>5623.7</v>
      </c>
      <c r="D62" s="35">
        <v>-1174.3</v>
      </c>
      <c r="E62" s="35">
        <v>24955.200000000001</v>
      </c>
      <c r="F62" s="87">
        <f t="shared" ref="F62" si="24">C62+D62+E62</f>
        <v>29404.6</v>
      </c>
      <c r="G62" s="85">
        <v>17300.7</v>
      </c>
      <c r="H62" s="36">
        <v>16823</v>
      </c>
      <c r="I62" s="35">
        <v>20657.099999999999</v>
      </c>
      <c r="J62" s="87">
        <f>G62+H62+I62</f>
        <v>54780.799999999996</v>
      </c>
      <c r="K62" s="85">
        <v>19158.7</v>
      </c>
      <c r="L62" s="35">
        <v>18470.3</v>
      </c>
      <c r="M62" s="35">
        <v>18082.599999999999</v>
      </c>
      <c r="N62" s="87">
        <f>K62+L62+M62</f>
        <v>55711.6</v>
      </c>
      <c r="O62" s="77">
        <v>16383.1</v>
      </c>
      <c r="P62" s="35">
        <v>18035.3</v>
      </c>
      <c r="Q62" s="35">
        <f>Q64*Q63/100</f>
        <v>36406.087200000002</v>
      </c>
      <c r="R62" s="131"/>
    </row>
    <row r="63" spans="1:18" ht="18.75" x14ac:dyDescent="0.3">
      <c r="A63" s="33" t="s">
        <v>223</v>
      </c>
      <c r="B63" s="74">
        <f>B62/B64*100</f>
        <v>109.97914972458487</v>
      </c>
      <c r="C63" s="74">
        <f>C62/C64*100</f>
        <v>98.595673060065209</v>
      </c>
      <c r="D63" s="74">
        <f t="shared" ref="D63:E63" si="25">D62/D64*100</f>
        <v>-7.8397991815044019</v>
      </c>
      <c r="E63" s="74">
        <f t="shared" si="25"/>
        <v>196.93803466018497</v>
      </c>
      <c r="F63" s="74">
        <f>F62/F64*100</f>
        <v>88.158877019616781</v>
      </c>
      <c r="G63" s="74">
        <f t="shared" ref="G63:J63" si="26">G62/G64*100</f>
        <v>108.14221688825549</v>
      </c>
      <c r="H63" s="74">
        <f t="shared" si="26"/>
        <v>125.20187248357111</v>
      </c>
      <c r="I63" s="74">
        <f t="shared" si="26"/>
        <v>118.87952119241503</v>
      </c>
      <c r="J63" s="74">
        <f t="shared" si="26"/>
        <v>117.02473548053567</v>
      </c>
      <c r="K63" s="74">
        <f>K62/K64*100</f>
        <v>120.46542043146651</v>
      </c>
      <c r="L63" s="74">
        <f t="shared" ref="L63:N63" si="27">L62/L64*100</f>
        <v>112.72826033885065</v>
      </c>
      <c r="M63" s="74">
        <f t="shared" si="27"/>
        <v>122.9949870424911</v>
      </c>
      <c r="N63" s="74">
        <f t="shared" si="27"/>
        <v>118.55903095512718</v>
      </c>
      <c r="O63" s="74">
        <f>O62/O64*100</f>
        <v>101.48356004856413</v>
      </c>
      <c r="P63" s="74">
        <f>P62/P64*100</f>
        <v>100.40081722177996</v>
      </c>
      <c r="Q63" s="77">
        <v>120</v>
      </c>
      <c r="R63" s="202"/>
    </row>
    <row r="64" spans="1:18" ht="18.75" x14ac:dyDescent="0.3">
      <c r="A64" s="2" t="s">
        <v>300</v>
      </c>
      <c r="B64" s="74">
        <f>C64+D64+E64+G64+H64+I64+K64+L64+M64+O64+P64+Q64</f>
        <v>191601.30599999998</v>
      </c>
      <c r="C64" s="85">
        <v>5703.8</v>
      </c>
      <c r="D64" s="35">
        <v>14978.7</v>
      </c>
      <c r="E64" s="35">
        <v>12671.6</v>
      </c>
      <c r="F64" s="87">
        <f t="shared" ref="F64" si="28">C64+D64+E64</f>
        <v>33354.1</v>
      </c>
      <c r="G64" s="85">
        <v>15998.1</v>
      </c>
      <c r="H64" s="36">
        <v>13436.7</v>
      </c>
      <c r="I64" s="35">
        <v>17376.5</v>
      </c>
      <c r="J64" s="87">
        <f>G64+H64+I64</f>
        <v>46811.3</v>
      </c>
      <c r="K64" s="85">
        <v>15903.9</v>
      </c>
      <c r="L64" s="35">
        <v>16384.8</v>
      </c>
      <c r="M64" s="35">
        <v>14701.9</v>
      </c>
      <c r="N64" s="87">
        <f>K64+L64+M64</f>
        <v>46990.6</v>
      </c>
      <c r="O64" s="77">
        <v>16143.6</v>
      </c>
      <c r="P64" s="35">
        <v>17963.3</v>
      </c>
      <c r="Q64" s="35">
        <f>Q66*Q65/100</f>
        <v>30338.406000000003</v>
      </c>
      <c r="R64" s="131"/>
    </row>
    <row r="65" spans="1:17" ht="18.75" x14ac:dyDescent="0.3">
      <c r="A65" s="33" t="s">
        <v>223</v>
      </c>
      <c r="B65" s="74">
        <f>B64/B66*100</f>
        <v>116.18359502458668</v>
      </c>
      <c r="C65" s="74">
        <f>C64/C66*100</f>
        <v>155.2984099324766</v>
      </c>
      <c r="D65" s="74">
        <f t="shared" ref="C65:N67" si="29">D64/D66*100</f>
        <v>119.31416281663216</v>
      </c>
      <c r="E65" s="74">
        <f t="shared" si="29"/>
        <v>105.97818814398504</v>
      </c>
      <c r="F65" s="74">
        <f>F64/F66*100</f>
        <v>118.34577555741636</v>
      </c>
      <c r="G65" s="74">
        <f t="shared" si="29"/>
        <v>91.792753248988717</v>
      </c>
      <c r="H65" s="74">
        <f t="shared" si="29"/>
        <v>126.71828435625636</v>
      </c>
      <c r="I65" s="74">
        <f t="shared" si="29"/>
        <v>121.32563432992139</v>
      </c>
      <c r="J65" s="74">
        <f t="shared" si="29"/>
        <v>110.52313460498698</v>
      </c>
      <c r="K65" s="74">
        <f>K64/K66*100</f>
        <v>113.71462483375996</v>
      </c>
      <c r="L65" s="74">
        <f t="shared" si="29"/>
        <v>130.40550758088264</v>
      </c>
      <c r="M65" s="74">
        <f t="shared" si="29"/>
        <v>118.65748736904973</v>
      </c>
      <c r="N65" s="74">
        <f t="shared" si="29"/>
        <v>120.67282135565797</v>
      </c>
      <c r="O65" s="74">
        <f>O64/O66*100</f>
        <v>109.02018517142878</v>
      </c>
      <c r="P65" s="74">
        <f>P64/P66*100</f>
        <v>140.41693667468417</v>
      </c>
      <c r="Q65" s="77">
        <v>109</v>
      </c>
    </row>
    <row r="66" spans="1:17" ht="18.75" x14ac:dyDescent="0.3">
      <c r="A66" s="33" t="s">
        <v>219</v>
      </c>
      <c r="B66" s="74">
        <f>C66+D66+E66+G66+H66+I66+K66+L66+M66+O66+P66+Q66</f>
        <v>164912.52999999997</v>
      </c>
      <c r="C66" s="85">
        <v>3672.8</v>
      </c>
      <c r="D66" s="35">
        <v>12554</v>
      </c>
      <c r="E66" s="35">
        <v>11956.8</v>
      </c>
      <c r="F66" s="87">
        <f>C66+D66+E66</f>
        <v>28183.599999999999</v>
      </c>
      <c r="G66" s="85">
        <v>17428.5</v>
      </c>
      <c r="H66" s="36">
        <v>10603.6</v>
      </c>
      <c r="I66" s="35">
        <v>14322.2</v>
      </c>
      <c r="J66" s="87">
        <f t="shared" si="17"/>
        <v>42354.3</v>
      </c>
      <c r="K66" s="85">
        <v>13985.8</v>
      </c>
      <c r="L66" s="35">
        <v>12564.5</v>
      </c>
      <c r="M66" s="35">
        <v>12390.2</v>
      </c>
      <c r="N66" s="87">
        <f>K66+L66+M66</f>
        <v>38940.5</v>
      </c>
      <c r="O66" s="77">
        <v>14807.9</v>
      </c>
      <c r="P66" s="77">
        <v>12792.83</v>
      </c>
      <c r="Q66" s="77">
        <v>27833.4</v>
      </c>
    </row>
    <row r="67" spans="1:17" ht="18.75" x14ac:dyDescent="0.3">
      <c r="A67" s="33" t="s">
        <v>223</v>
      </c>
      <c r="B67" s="74">
        <f>B66/B68*100</f>
        <v>105.6908025866323</v>
      </c>
      <c r="C67" s="74">
        <f t="shared" si="29"/>
        <v>85.423886498430051</v>
      </c>
      <c r="D67" s="74">
        <f t="shared" si="29"/>
        <v>107.33400591645147</v>
      </c>
      <c r="E67" s="74">
        <f t="shared" si="29"/>
        <v>98.28934064398392</v>
      </c>
      <c r="F67" s="74">
        <f t="shared" si="29"/>
        <v>100.08167439614213</v>
      </c>
      <c r="G67" s="74">
        <f t="shared" si="29"/>
        <v>125.1184527911785</v>
      </c>
      <c r="H67" s="74">
        <f t="shared" si="29"/>
        <v>95.53309187884031</v>
      </c>
      <c r="I67" s="74">
        <f t="shared" si="29"/>
        <v>107.90720802850964</v>
      </c>
      <c r="J67" s="74">
        <f t="shared" si="29"/>
        <v>110.58073140356697</v>
      </c>
      <c r="K67" s="74">
        <f t="shared" si="29"/>
        <v>108.4036088547157</v>
      </c>
      <c r="L67" s="74">
        <f t="shared" si="29"/>
        <v>124.70348866061238</v>
      </c>
      <c r="M67" s="74">
        <f t="shared" si="29"/>
        <v>96.946128868197647</v>
      </c>
      <c r="N67" s="74">
        <f t="shared" si="29"/>
        <v>108.90132447367833</v>
      </c>
      <c r="O67" s="74">
        <f>O66/O68*100</f>
        <v>110.9879402483904</v>
      </c>
      <c r="P67" s="74">
        <f>P66/P68*100</f>
        <v>105.01592539690358</v>
      </c>
      <c r="Q67" s="74">
        <f>Q66/Q68*100</f>
        <v>98.388088824789506</v>
      </c>
    </row>
    <row r="68" spans="1:17" ht="18.75" x14ac:dyDescent="0.3">
      <c r="A68" s="33" t="s">
        <v>221</v>
      </c>
      <c r="B68" s="34">
        <f>C68+D68+E68+G68+H68+I68+K68+L68+M68+O68+P68+Q68</f>
        <v>156033</v>
      </c>
      <c r="C68" s="35">
        <v>4299.5</v>
      </c>
      <c r="D68" s="35">
        <v>11696.2</v>
      </c>
      <c r="E68" s="35">
        <v>12164.9</v>
      </c>
      <c r="F68" s="87">
        <f>C68+D68+E68</f>
        <v>28160.6</v>
      </c>
      <c r="G68" s="35">
        <v>13929.6</v>
      </c>
      <c r="H68" s="36">
        <v>11099.4</v>
      </c>
      <c r="I68" s="35">
        <v>13272.7</v>
      </c>
      <c r="J68" s="87">
        <f t="shared" si="17"/>
        <v>38301.699999999997</v>
      </c>
      <c r="K68" s="35">
        <v>12901.6</v>
      </c>
      <c r="L68" s="35">
        <v>10075.5</v>
      </c>
      <c r="M68" s="35">
        <v>12780.5</v>
      </c>
      <c r="N68" s="87">
        <f t="shared" si="18"/>
        <v>35757.599999999999</v>
      </c>
      <c r="O68" s="35">
        <v>13341.9</v>
      </c>
      <c r="P68" s="35">
        <v>12181.8</v>
      </c>
      <c r="Q68" s="35">
        <v>28289.4</v>
      </c>
    </row>
    <row r="69" spans="1:17" ht="18.75" x14ac:dyDescent="0.3">
      <c r="A69" s="33" t="s">
        <v>222</v>
      </c>
      <c r="B69" s="34">
        <f>B68/B70*100</f>
        <v>111.88914990835634</v>
      </c>
      <c r="C69" s="34">
        <f t="shared" ref="C69:P69" si="30">C68/C70*100</f>
        <v>100.49317501869859</v>
      </c>
      <c r="D69" s="34">
        <f t="shared" si="30"/>
        <v>106.10049257508823</v>
      </c>
      <c r="E69" s="34">
        <f t="shared" si="30"/>
        <v>114.77728400652909</v>
      </c>
      <c r="F69" s="34">
        <f t="shared" si="30"/>
        <v>108.72482703236963</v>
      </c>
      <c r="G69" s="34">
        <f t="shared" si="30"/>
        <v>105.9132140603259</v>
      </c>
      <c r="H69" s="34">
        <f t="shared" si="30"/>
        <v>100.94952251023193</v>
      </c>
      <c r="I69" s="34">
        <f t="shared" si="30"/>
        <v>107.69886156168099</v>
      </c>
      <c r="J69" s="34">
        <f t="shared" si="30"/>
        <v>105.02018052798401</v>
      </c>
      <c r="K69" s="34">
        <f t="shared" si="30"/>
        <v>120.08973034356299</v>
      </c>
      <c r="L69" s="34">
        <f t="shared" si="30"/>
        <v>97.313037851202949</v>
      </c>
      <c r="M69" s="34">
        <f t="shared" si="30"/>
        <v>128.72020062645407</v>
      </c>
      <c r="N69" s="34">
        <f t="shared" si="30"/>
        <v>115.25080658417643</v>
      </c>
      <c r="O69" s="34">
        <f t="shared" si="30"/>
        <v>106.19065432462334</v>
      </c>
      <c r="P69" s="34">
        <f t="shared" si="30"/>
        <v>116.97522565776839</v>
      </c>
      <c r="Q69" s="34">
        <f>Q68/Q70*100</f>
        <v>122.5838042084099</v>
      </c>
    </row>
    <row r="70" spans="1:17" ht="18.75" x14ac:dyDescent="0.3">
      <c r="A70" s="33" t="s">
        <v>220</v>
      </c>
      <c r="B70" s="35">
        <f>C70+D70+E70+G70+H70+I70+K70+L70+M70+O70+P70+Q70</f>
        <v>139453.20000000001</v>
      </c>
      <c r="C70" s="35">
        <v>4278.3999999999996</v>
      </c>
      <c r="D70" s="35">
        <v>11023.7</v>
      </c>
      <c r="E70" s="35">
        <v>10598.7</v>
      </c>
      <c r="F70" s="87">
        <f>C70+D70+E70</f>
        <v>25900.800000000003</v>
      </c>
      <c r="G70" s="35">
        <v>13151.9</v>
      </c>
      <c r="H70" s="35">
        <v>10995</v>
      </c>
      <c r="I70" s="35">
        <v>12323.9</v>
      </c>
      <c r="J70" s="87">
        <f t="shared" si="17"/>
        <v>36470.800000000003</v>
      </c>
      <c r="K70" s="35">
        <v>10743.3</v>
      </c>
      <c r="L70" s="35">
        <v>10353.700000000001</v>
      </c>
      <c r="M70" s="35">
        <v>9928.9</v>
      </c>
      <c r="N70" s="87">
        <f t="shared" si="18"/>
        <v>31025.9</v>
      </c>
      <c r="O70" s="35">
        <v>12564.1</v>
      </c>
      <c r="P70" s="35">
        <v>10414</v>
      </c>
      <c r="Q70" s="35">
        <v>23077.599999999999</v>
      </c>
    </row>
    <row r="72" spans="1:17" ht="18.75" x14ac:dyDescent="0.3">
      <c r="A72" s="26" t="s">
        <v>147</v>
      </c>
      <c r="L72" s="53"/>
      <c r="N72" s="53">
        <f>(J67+N67)/2</f>
        <v>109.74102793862265</v>
      </c>
      <c r="O72" s="131">
        <v>107.14</v>
      </c>
    </row>
    <row r="73" spans="1:17" ht="13.5" thickBot="1" x14ac:dyDescent="0.25">
      <c r="N73" s="53">
        <f>(J69+N69)/2</f>
        <v>110.13549355608022</v>
      </c>
    </row>
    <row r="74" spans="1:17" ht="15" x14ac:dyDescent="0.2">
      <c r="A74" s="27" t="s">
        <v>148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9"/>
    </row>
    <row r="75" spans="1:17" ht="27" x14ac:dyDescent="0.3">
      <c r="A75" s="30"/>
      <c r="B75" s="31" t="s">
        <v>149</v>
      </c>
      <c r="C75" s="32" t="s">
        <v>150</v>
      </c>
      <c r="D75" s="32" t="s">
        <v>151</v>
      </c>
      <c r="E75" s="32" t="s">
        <v>152</v>
      </c>
      <c r="F75" s="32"/>
      <c r="G75" s="32" t="s">
        <v>153</v>
      </c>
      <c r="H75" s="32" t="s">
        <v>154</v>
      </c>
      <c r="I75" s="32" t="s">
        <v>155</v>
      </c>
      <c r="J75" s="32"/>
      <c r="K75" s="32" t="s">
        <v>156</v>
      </c>
      <c r="L75" s="32" t="s">
        <v>157</v>
      </c>
      <c r="M75" s="32" t="s">
        <v>158</v>
      </c>
      <c r="N75" s="32"/>
      <c r="O75" s="32" t="s">
        <v>159</v>
      </c>
      <c r="P75" s="32" t="s">
        <v>160</v>
      </c>
      <c r="Q75" s="32" t="s">
        <v>161</v>
      </c>
    </row>
    <row r="76" spans="1:17" ht="18.75" x14ac:dyDescent="0.3">
      <c r="A76" s="33" t="s">
        <v>100</v>
      </c>
      <c r="B76" s="34">
        <f t="shared" ref="B76:B82" si="31">C76+D76+E76+G76+H76+I76+K76+L76+M76+O76+P76+Q76</f>
        <v>156033</v>
      </c>
      <c r="C76" s="35">
        <v>4299.5</v>
      </c>
      <c r="D76" s="35">
        <v>11696.2</v>
      </c>
      <c r="E76" s="35">
        <v>12164.9</v>
      </c>
      <c r="F76" s="35">
        <f t="shared" ref="F76:F99" si="32">C76+D76+E76</f>
        <v>28160.6</v>
      </c>
      <c r="G76" s="35">
        <v>13929.6</v>
      </c>
      <c r="H76" s="36">
        <v>11099.4</v>
      </c>
      <c r="I76" s="35">
        <v>13272.7</v>
      </c>
      <c r="J76" s="35"/>
      <c r="K76" s="35">
        <v>12901.6</v>
      </c>
      <c r="L76" s="35">
        <v>10075.5</v>
      </c>
      <c r="M76" s="35">
        <v>12780.5</v>
      </c>
      <c r="N76" s="35"/>
      <c r="O76" s="35">
        <v>13341.9</v>
      </c>
      <c r="P76" s="35">
        <v>12181.8</v>
      </c>
      <c r="Q76" s="35">
        <v>28289.4</v>
      </c>
    </row>
    <row r="77" spans="1:17" ht="18.75" x14ac:dyDescent="0.3">
      <c r="A77" s="37" t="s">
        <v>101</v>
      </c>
      <c r="B77" s="34">
        <f t="shared" si="31"/>
        <v>12093.4</v>
      </c>
      <c r="C77" s="35">
        <v>1058.4000000000001</v>
      </c>
      <c r="D77" s="35">
        <v>942.5</v>
      </c>
      <c r="E77" s="35">
        <v>946.3</v>
      </c>
      <c r="F77" s="35">
        <f t="shared" si="32"/>
        <v>2947.2</v>
      </c>
      <c r="G77" s="35">
        <v>1026.5</v>
      </c>
      <c r="H77" s="35">
        <v>719.8</v>
      </c>
      <c r="I77" s="35">
        <v>813.7</v>
      </c>
      <c r="J77" s="35"/>
      <c r="K77" s="35">
        <v>1031.3</v>
      </c>
      <c r="L77" s="35">
        <v>1222.0999999999999</v>
      </c>
      <c r="M77" s="35">
        <v>1175.2</v>
      </c>
      <c r="N77" s="35"/>
      <c r="O77" s="35">
        <v>1138.8</v>
      </c>
      <c r="P77" s="35">
        <v>1032.5</v>
      </c>
      <c r="Q77" s="35">
        <v>986.3</v>
      </c>
    </row>
    <row r="78" spans="1:17" ht="18.75" x14ac:dyDescent="0.3">
      <c r="A78" s="38" t="s">
        <v>162</v>
      </c>
      <c r="B78" s="34">
        <f t="shared" si="31"/>
        <v>4792.1000000000004</v>
      </c>
      <c r="C78" s="35">
        <v>59.9</v>
      </c>
      <c r="D78" s="35">
        <v>128.19999999999999</v>
      </c>
      <c r="E78" s="35">
        <v>535.70000000000005</v>
      </c>
      <c r="F78" s="35">
        <f t="shared" si="32"/>
        <v>723.80000000000007</v>
      </c>
      <c r="G78" s="35">
        <v>725</v>
      </c>
      <c r="H78" s="35">
        <v>244.3</v>
      </c>
      <c r="I78" s="35">
        <v>298.2</v>
      </c>
      <c r="J78" s="35"/>
      <c r="K78" s="35">
        <v>978.3</v>
      </c>
      <c r="L78" s="35">
        <v>255.5</v>
      </c>
      <c r="M78" s="35">
        <v>160</v>
      </c>
      <c r="N78" s="35"/>
      <c r="O78" s="35">
        <v>1149.4000000000001</v>
      </c>
      <c r="P78" s="35">
        <v>144.1</v>
      </c>
      <c r="Q78" s="35">
        <v>113.5</v>
      </c>
    </row>
    <row r="79" spans="1:17" ht="18.75" x14ac:dyDescent="0.3">
      <c r="A79" s="37" t="s">
        <v>163</v>
      </c>
      <c r="B79" s="34">
        <f t="shared" si="31"/>
        <v>7237.9</v>
      </c>
      <c r="C79" s="35">
        <v>1741.6</v>
      </c>
      <c r="D79" s="35">
        <v>328</v>
      </c>
      <c r="E79" s="35">
        <v>62</v>
      </c>
      <c r="F79" s="35">
        <f t="shared" si="32"/>
        <v>2131.6</v>
      </c>
      <c r="G79" s="35">
        <v>1377.5</v>
      </c>
      <c r="H79" s="35">
        <v>81</v>
      </c>
      <c r="I79" s="35">
        <v>113.6</v>
      </c>
      <c r="J79" s="35"/>
      <c r="K79" s="35">
        <v>1104.7</v>
      </c>
      <c r="L79" s="35">
        <v>103.9</v>
      </c>
      <c r="M79" s="35">
        <v>219.1</v>
      </c>
      <c r="N79" s="35"/>
      <c r="O79" s="35">
        <v>1919.9</v>
      </c>
      <c r="P79" s="35">
        <v>50.6</v>
      </c>
      <c r="Q79" s="35">
        <v>136</v>
      </c>
    </row>
    <row r="80" spans="1:17" ht="18.75" x14ac:dyDescent="0.3">
      <c r="A80" s="33" t="s">
        <v>164</v>
      </c>
      <c r="B80" s="34">
        <f t="shared" si="31"/>
        <v>232</v>
      </c>
      <c r="C80" s="35">
        <v>2.2999999999999998</v>
      </c>
      <c r="D80" s="35">
        <v>136.6</v>
      </c>
      <c r="E80" s="35">
        <v>50.6</v>
      </c>
      <c r="F80" s="35">
        <f t="shared" si="32"/>
        <v>189.5</v>
      </c>
      <c r="G80" s="35">
        <v>0</v>
      </c>
      <c r="H80" s="35">
        <v>6.9</v>
      </c>
      <c r="I80" s="35">
        <v>1</v>
      </c>
      <c r="J80" s="35"/>
      <c r="K80" s="35">
        <v>31.6</v>
      </c>
      <c r="L80" s="35">
        <v>0</v>
      </c>
      <c r="M80" s="35"/>
      <c r="N80" s="35"/>
      <c r="O80" s="35">
        <v>3</v>
      </c>
      <c r="P80" s="35"/>
      <c r="Q80" s="35"/>
    </row>
    <row r="81" spans="1:17" ht="31.5" x14ac:dyDescent="0.3">
      <c r="A81" s="33" t="s">
        <v>165</v>
      </c>
      <c r="B81" s="34">
        <f t="shared" si="31"/>
        <v>89.4</v>
      </c>
      <c r="C81" s="35"/>
      <c r="D81" s="35">
        <v>12</v>
      </c>
      <c r="E81" s="35">
        <v>22.5</v>
      </c>
      <c r="F81" s="35">
        <f t="shared" si="32"/>
        <v>34.5</v>
      </c>
      <c r="G81" s="35">
        <v>7.3</v>
      </c>
      <c r="H81" s="35">
        <v>0</v>
      </c>
      <c r="I81" s="35">
        <v>21.9</v>
      </c>
      <c r="J81" s="35"/>
      <c r="K81" s="35">
        <v>0.3</v>
      </c>
      <c r="L81" s="35"/>
      <c r="M81" s="35"/>
      <c r="N81" s="35"/>
      <c r="O81" s="35"/>
      <c r="P81" s="35">
        <v>1</v>
      </c>
      <c r="Q81" s="35">
        <v>24.4</v>
      </c>
    </row>
    <row r="82" spans="1:17" ht="18.75" x14ac:dyDescent="0.3">
      <c r="A82" s="37" t="s">
        <v>166</v>
      </c>
      <c r="B82" s="34">
        <f t="shared" si="31"/>
        <v>6347.8</v>
      </c>
      <c r="C82" s="35">
        <v>1.1000000000000001</v>
      </c>
      <c r="D82" s="35">
        <v>409.7</v>
      </c>
      <c r="E82" s="35">
        <v>116.6</v>
      </c>
      <c r="F82" s="35">
        <f t="shared" si="32"/>
        <v>527.4</v>
      </c>
      <c r="G82" s="35">
        <v>9.4</v>
      </c>
      <c r="H82" s="35">
        <v>10.6</v>
      </c>
      <c r="I82" s="35">
        <v>94.7</v>
      </c>
      <c r="J82" s="35"/>
      <c r="K82" s="35">
        <v>121.8</v>
      </c>
      <c r="L82" s="35">
        <v>230.2</v>
      </c>
      <c r="M82" s="35">
        <v>186.2</v>
      </c>
      <c r="N82" s="35"/>
      <c r="O82" s="35">
        <v>1624.5</v>
      </c>
      <c r="P82" s="35">
        <v>2374</v>
      </c>
      <c r="Q82" s="35">
        <v>1169</v>
      </c>
    </row>
    <row r="83" spans="1:17" ht="18.75" x14ac:dyDescent="0.3">
      <c r="A83" s="37" t="s">
        <v>167</v>
      </c>
      <c r="B83" s="34">
        <f>B84+B85</f>
        <v>17552.3</v>
      </c>
      <c r="C83" s="35">
        <f t="shared" ref="C83:Q83" si="33">C84+C85</f>
        <v>70.899999999999991</v>
      </c>
      <c r="D83" s="35">
        <f t="shared" si="33"/>
        <v>2804.7</v>
      </c>
      <c r="E83" s="35">
        <f t="shared" si="33"/>
        <v>-2190.8999999999996</v>
      </c>
      <c r="F83" s="35">
        <f t="shared" si="32"/>
        <v>684.70000000000027</v>
      </c>
      <c r="G83" s="35">
        <f t="shared" si="33"/>
        <v>1327.3</v>
      </c>
      <c r="H83" s="35">
        <f t="shared" si="33"/>
        <v>406</v>
      </c>
      <c r="I83" s="35">
        <f t="shared" si="33"/>
        <v>331.1</v>
      </c>
      <c r="J83" s="35"/>
      <c r="K83" s="35">
        <f t="shared" si="33"/>
        <v>1394.8999999999999</v>
      </c>
      <c r="L83" s="35">
        <f t="shared" si="33"/>
        <v>798</v>
      </c>
      <c r="M83" s="35">
        <f t="shared" si="33"/>
        <v>342</v>
      </c>
      <c r="N83" s="35"/>
      <c r="O83" s="35">
        <f t="shared" si="33"/>
        <v>5781</v>
      </c>
      <c r="P83" s="35">
        <f t="shared" si="33"/>
        <v>4534.3</v>
      </c>
      <c r="Q83" s="35">
        <f t="shared" si="33"/>
        <v>1953</v>
      </c>
    </row>
    <row r="84" spans="1:17" ht="18.75" x14ac:dyDescent="0.3">
      <c r="A84" s="37" t="s">
        <v>168</v>
      </c>
      <c r="B84" s="34">
        <f>C84+D84+E84+G84+H84+I84+K84+L84+M84+O84+P84+Q84</f>
        <v>5843</v>
      </c>
      <c r="C84" s="35">
        <v>5.0999999999999996</v>
      </c>
      <c r="D84" s="35">
        <v>2421</v>
      </c>
      <c r="E84" s="35">
        <v>-2330.1999999999998</v>
      </c>
      <c r="F84" s="35">
        <f t="shared" si="32"/>
        <v>95.900000000000091</v>
      </c>
      <c r="G84" s="35">
        <v>1229.5999999999999</v>
      </c>
      <c r="H84" s="35">
        <v>341.3</v>
      </c>
      <c r="I84" s="35">
        <v>180.8</v>
      </c>
      <c r="J84" s="35"/>
      <c r="K84" s="35">
        <v>1179.3</v>
      </c>
      <c r="L84" s="35">
        <v>635.29999999999995</v>
      </c>
      <c r="M84" s="35">
        <v>-204</v>
      </c>
      <c r="N84" s="35"/>
      <c r="O84" s="35">
        <v>1574.2</v>
      </c>
      <c r="P84" s="35">
        <v>727.1</v>
      </c>
      <c r="Q84" s="35">
        <v>83.5</v>
      </c>
    </row>
    <row r="85" spans="1:17" ht="18.75" x14ac:dyDescent="0.3">
      <c r="A85" s="37" t="s">
        <v>169</v>
      </c>
      <c r="B85" s="34">
        <f>C85+D85+E85+G85+H85+I85+K85+L85+M85+O85+P85+Q85</f>
        <v>11709.3</v>
      </c>
      <c r="C85" s="35">
        <v>65.8</v>
      </c>
      <c r="D85" s="35">
        <v>383.7</v>
      </c>
      <c r="E85" s="35">
        <v>139.30000000000001</v>
      </c>
      <c r="F85" s="35">
        <f t="shared" si="32"/>
        <v>588.79999999999995</v>
      </c>
      <c r="G85" s="35">
        <v>97.7</v>
      </c>
      <c r="H85" s="35">
        <v>64.7</v>
      </c>
      <c r="I85" s="35">
        <v>150.30000000000001</v>
      </c>
      <c r="J85" s="35"/>
      <c r="K85" s="35">
        <v>215.6</v>
      </c>
      <c r="L85" s="35">
        <v>162.69999999999999</v>
      </c>
      <c r="M85" s="35">
        <v>546</v>
      </c>
      <c r="N85" s="35"/>
      <c r="O85" s="35">
        <v>4206.8</v>
      </c>
      <c r="P85" s="35">
        <v>3807.2</v>
      </c>
      <c r="Q85" s="35">
        <v>1869.5</v>
      </c>
    </row>
    <row r="86" spans="1:17" ht="19.5" thickBot="1" x14ac:dyDescent="0.35">
      <c r="A86" s="37" t="s">
        <v>105</v>
      </c>
      <c r="B86" s="34">
        <f>C86+D86+E86+G86+H86+I86+K86+L86+M86+O86+P86+Q86</f>
        <v>2638.4</v>
      </c>
      <c r="C86" s="35">
        <v>184.4</v>
      </c>
      <c r="D86" s="35">
        <v>232.4</v>
      </c>
      <c r="E86" s="35">
        <v>217</v>
      </c>
      <c r="F86" s="35">
        <f t="shared" si="32"/>
        <v>633.79999999999995</v>
      </c>
      <c r="G86" s="35">
        <v>99.2</v>
      </c>
      <c r="H86" s="35">
        <v>115.6</v>
      </c>
      <c r="I86" s="35">
        <v>256.39999999999998</v>
      </c>
      <c r="J86" s="35"/>
      <c r="K86" s="35">
        <v>249</v>
      </c>
      <c r="L86" s="35">
        <v>267.7</v>
      </c>
      <c r="M86" s="35">
        <v>258.2</v>
      </c>
      <c r="N86" s="35"/>
      <c r="O86" s="35">
        <v>240</v>
      </c>
      <c r="P86" s="35">
        <v>204.7</v>
      </c>
      <c r="Q86" s="35">
        <v>313.8</v>
      </c>
    </row>
    <row r="87" spans="1:17" ht="19.5" thickBot="1" x14ac:dyDescent="0.35">
      <c r="A87" s="39" t="s">
        <v>145</v>
      </c>
      <c r="B87" s="40">
        <f>B76+B77+B79+B80+B81+B82+B83+B86+B78</f>
        <v>207016.29999999996</v>
      </c>
      <c r="C87" s="41">
        <f t="shared" ref="C87:P87" si="34">C76+C77+C79+C80+C81+C82+C83+C86+C78</f>
        <v>7418.0999999999995</v>
      </c>
      <c r="D87" s="41">
        <f t="shared" si="34"/>
        <v>16690.300000000003</v>
      </c>
      <c r="E87" s="41">
        <f t="shared" si="34"/>
        <v>11924.7</v>
      </c>
      <c r="F87" s="35">
        <f t="shared" si="32"/>
        <v>36033.100000000006</v>
      </c>
      <c r="G87" s="41">
        <f t="shared" si="34"/>
        <v>18501.8</v>
      </c>
      <c r="H87" s="42">
        <f t="shared" si="34"/>
        <v>12683.599999999999</v>
      </c>
      <c r="I87" s="41">
        <f t="shared" si="34"/>
        <v>15203.300000000003</v>
      </c>
      <c r="J87" s="41"/>
      <c r="K87" s="41">
        <f t="shared" si="34"/>
        <v>17813.5</v>
      </c>
      <c r="L87" s="41">
        <f t="shared" si="34"/>
        <v>12952.900000000001</v>
      </c>
      <c r="M87" s="41">
        <f t="shared" si="34"/>
        <v>15121.200000000003</v>
      </c>
      <c r="N87" s="41"/>
      <c r="O87" s="41">
        <f t="shared" si="34"/>
        <v>25198.5</v>
      </c>
      <c r="P87" s="41">
        <f t="shared" si="34"/>
        <v>20523</v>
      </c>
      <c r="Q87" s="41">
        <f>Q76+Q77+Q79+Q80+Q81+Q82+Q83+Q86+Q78</f>
        <v>32985.4</v>
      </c>
    </row>
    <row r="88" spans="1:17" ht="18.75" x14ac:dyDescent="0.3">
      <c r="A88" s="43" t="s">
        <v>170</v>
      </c>
      <c r="B88" s="34">
        <f t="shared" ref="B88:B97" si="35">C88+D88+E88+G88+H88+I88+K88+L88+M88+O88+P88+Q88</f>
        <v>77</v>
      </c>
      <c r="C88" s="44">
        <v>0</v>
      </c>
      <c r="D88" s="44">
        <v>0</v>
      </c>
      <c r="E88" s="44">
        <v>0</v>
      </c>
      <c r="F88" s="35">
        <f t="shared" si="32"/>
        <v>0</v>
      </c>
      <c r="G88" s="44">
        <v>77</v>
      </c>
      <c r="H88" s="44">
        <v>0</v>
      </c>
      <c r="I88" s="44"/>
      <c r="J88" s="44"/>
      <c r="K88" s="44"/>
      <c r="L88" s="44"/>
      <c r="M88" s="44"/>
      <c r="N88" s="44"/>
      <c r="O88" s="44"/>
      <c r="P88" s="44"/>
      <c r="Q88" s="35"/>
    </row>
    <row r="89" spans="1:17" ht="18.75" x14ac:dyDescent="0.3">
      <c r="A89" s="45" t="s">
        <v>171</v>
      </c>
      <c r="B89" s="34">
        <f t="shared" si="35"/>
        <v>3489.2999999999997</v>
      </c>
      <c r="C89" s="46">
        <v>208.2</v>
      </c>
      <c r="D89" s="47">
        <v>358.5</v>
      </c>
      <c r="E89" s="46">
        <v>255.5</v>
      </c>
      <c r="F89" s="35">
        <f t="shared" si="32"/>
        <v>822.2</v>
      </c>
      <c r="G89" s="46">
        <v>359.5</v>
      </c>
      <c r="H89" s="46">
        <v>224</v>
      </c>
      <c r="I89" s="46">
        <v>257.3</v>
      </c>
      <c r="J89" s="46"/>
      <c r="K89" s="46">
        <v>250.1</v>
      </c>
      <c r="L89" s="46">
        <v>336.9</v>
      </c>
      <c r="M89" s="46">
        <v>255.8</v>
      </c>
      <c r="N89" s="46"/>
      <c r="O89" s="35">
        <v>261.10000000000002</v>
      </c>
      <c r="P89" s="35">
        <v>235.2</v>
      </c>
      <c r="Q89" s="35">
        <v>487.2</v>
      </c>
    </row>
    <row r="90" spans="1:17" ht="18.75" x14ac:dyDescent="0.3">
      <c r="A90" s="37" t="s">
        <v>172</v>
      </c>
      <c r="B90" s="34">
        <f t="shared" si="35"/>
        <v>1096.5</v>
      </c>
      <c r="C90" s="35">
        <v>11.6</v>
      </c>
      <c r="D90" s="35">
        <v>96.8</v>
      </c>
      <c r="E90" s="35">
        <v>28.5</v>
      </c>
      <c r="F90" s="35">
        <f t="shared" si="32"/>
        <v>136.89999999999998</v>
      </c>
      <c r="G90" s="35">
        <v>39.299999999999997</v>
      </c>
      <c r="H90" s="35">
        <v>242.2</v>
      </c>
      <c r="I90" s="35">
        <v>143.1</v>
      </c>
      <c r="J90" s="35"/>
      <c r="K90" s="35">
        <v>60.2</v>
      </c>
      <c r="L90" s="35">
        <v>91.4</v>
      </c>
      <c r="M90" s="35">
        <v>105.6</v>
      </c>
      <c r="N90" s="35"/>
      <c r="O90" s="35">
        <v>109.5</v>
      </c>
      <c r="P90" s="35">
        <v>97.7</v>
      </c>
      <c r="Q90" s="35">
        <v>70.599999999999994</v>
      </c>
    </row>
    <row r="91" spans="1:17" ht="18.75" x14ac:dyDescent="0.3">
      <c r="A91" s="37" t="s">
        <v>173</v>
      </c>
      <c r="B91" s="34">
        <f t="shared" si="35"/>
        <v>336.2</v>
      </c>
      <c r="C91" s="35">
        <v>0</v>
      </c>
      <c r="D91" s="35">
        <v>109.4</v>
      </c>
      <c r="E91" s="35">
        <v>63.5</v>
      </c>
      <c r="F91" s="35">
        <f t="shared" si="32"/>
        <v>172.9</v>
      </c>
      <c r="G91" s="35">
        <v>0</v>
      </c>
      <c r="H91" s="35">
        <v>0</v>
      </c>
      <c r="I91" s="35">
        <v>36.6</v>
      </c>
      <c r="J91" s="35"/>
      <c r="K91" s="35">
        <v>102.2</v>
      </c>
      <c r="L91" s="35">
        <v>24.5</v>
      </c>
      <c r="M91" s="35">
        <v>0</v>
      </c>
      <c r="N91" s="35"/>
      <c r="O91" s="35">
        <v>0</v>
      </c>
      <c r="P91" s="35">
        <v>0</v>
      </c>
      <c r="Q91" s="35">
        <v>0</v>
      </c>
    </row>
    <row r="92" spans="1:17" ht="18.75" x14ac:dyDescent="0.3">
      <c r="A92" s="37" t="s">
        <v>174</v>
      </c>
      <c r="B92" s="34">
        <f t="shared" si="35"/>
        <v>8987.3999999999978</v>
      </c>
      <c r="C92" s="35">
        <v>0</v>
      </c>
      <c r="D92" s="35">
        <v>2.1</v>
      </c>
      <c r="E92" s="35">
        <v>1.4</v>
      </c>
      <c r="F92" s="35">
        <f t="shared" si="32"/>
        <v>3.5</v>
      </c>
      <c r="G92" s="35">
        <v>29.5</v>
      </c>
      <c r="H92" s="35">
        <v>5.6</v>
      </c>
      <c r="I92" s="35">
        <v>19.399999999999999</v>
      </c>
      <c r="J92" s="35"/>
      <c r="K92" s="35"/>
      <c r="L92" s="35">
        <v>7.4</v>
      </c>
      <c r="M92" s="35">
        <v>8612.7999999999993</v>
      </c>
      <c r="N92" s="35"/>
      <c r="O92" s="35"/>
      <c r="P92" s="35">
        <v>41.9</v>
      </c>
      <c r="Q92" s="35">
        <v>267.3</v>
      </c>
    </row>
    <row r="93" spans="1:17" ht="18.75" x14ac:dyDescent="0.3">
      <c r="A93" s="37" t="s">
        <v>175</v>
      </c>
      <c r="B93" s="34">
        <f t="shared" si="35"/>
        <v>256.5</v>
      </c>
      <c r="C93" s="35">
        <v>0</v>
      </c>
      <c r="D93" s="35">
        <v>0</v>
      </c>
      <c r="E93" s="35">
        <v>0</v>
      </c>
      <c r="F93" s="35">
        <f t="shared" si="32"/>
        <v>0</v>
      </c>
      <c r="G93" s="35">
        <v>0</v>
      </c>
      <c r="H93" s="35">
        <v>0</v>
      </c>
      <c r="I93" s="35"/>
      <c r="J93" s="35"/>
      <c r="K93" s="35"/>
      <c r="L93" s="35"/>
      <c r="M93" s="35"/>
      <c r="N93" s="35"/>
      <c r="O93" s="35">
        <v>219.7</v>
      </c>
      <c r="P93" s="35"/>
      <c r="Q93" s="35">
        <v>36.799999999999997</v>
      </c>
    </row>
    <row r="94" spans="1:17" ht="18.75" x14ac:dyDescent="0.3">
      <c r="A94" s="37" t="s">
        <v>108</v>
      </c>
      <c r="B94" s="34">
        <f t="shared" si="35"/>
        <v>3769.5</v>
      </c>
      <c r="C94" s="35">
        <v>0</v>
      </c>
      <c r="D94" s="35">
        <v>244</v>
      </c>
      <c r="E94" s="35">
        <v>165.9</v>
      </c>
      <c r="F94" s="35">
        <f t="shared" si="32"/>
        <v>409.9</v>
      </c>
      <c r="G94" s="35">
        <v>1016.4</v>
      </c>
      <c r="H94" s="35">
        <v>119.5</v>
      </c>
      <c r="I94" s="35">
        <v>13.9</v>
      </c>
      <c r="J94" s="35"/>
      <c r="K94" s="35">
        <v>613.4</v>
      </c>
      <c r="L94" s="35">
        <v>162</v>
      </c>
      <c r="M94" s="35"/>
      <c r="N94" s="35"/>
      <c r="O94" s="35">
        <v>186.5</v>
      </c>
      <c r="P94" s="35">
        <v>684.2</v>
      </c>
      <c r="Q94" s="35">
        <v>563.70000000000005</v>
      </c>
    </row>
    <row r="95" spans="1:17" ht="47.25" x14ac:dyDescent="0.3">
      <c r="A95" s="33" t="s">
        <v>176</v>
      </c>
      <c r="B95" s="34">
        <f t="shared" si="35"/>
        <v>77.799999999999983</v>
      </c>
      <c r="C95" s="35">
        <v>0</v>
      </c>
      <c r="D95" s="35">
        <v>3.8</v>
      </c>
      <c r="E95" s="35">
        <v>24.9</v>
      </c>
      <c r="F95" s="35">
        <f t="shared" si="32"/>
        <v>28.7</v>
      </c>
      <c r="G95" s="35">
        <v>2</v>
      </c>
      <c r="H95" s="35">
        <v>0.7</v>
      </c>
      <c r="I95" s="35">
        <v>7.3</v>
      </c>
      <c r="J95" s="35"/>
      <c r="K95" s="35">
        <v>2.7</v>
      </c>
      <c r="L95" s="35">
        <v>0.8</v>
      </c>
      <c r="M95" s="35">
        <v>-0.7</v>
      </c>
      <c r="N95" s="35"/>
      <c r="O95" s="35">
        <v>40.799999999999997</v>
      </c>
      <c r="P95" s="35">
        <v>1</v>
      </c>
      <c r="Q95" s="35">
        <v>-5.5</v>
      </c>
    </row>
    <row r="96" spans="1:17" ht="18.75" x14ac:dyDescent="0.3">
      <c r="A96" s="37" t="s">
        <v>177</v>
      </c>
      <c r="B96" s="34">
        <f t="shared" si="35"/>
        <v>799.1</v>
      </c>
      <c r="C96" s="35">
        <v>29.9</v>
      </c>
      <c r="D96" s="35">
        <v>27.2</v>
      </c>
      <c r="E96" s="35">
        <v>38.299999999999997</v>
      </c>
      <c r="F96" s="35">
        <f t="shared" si="32"/>
        <v>95.399999999999991</v>
      </c>
      <c r="G96" s="35">
        <v>2.2999999999999998</v>
      </c>
      <c r="H96" s="35">
        <v>1.1000000000000001</v>
      </c>
      <c r="I96" s="35">
        <v>10.9</v>
      </c>
      <c r="J96" s="35"/>
      <c r="K96" s="35">
        <v>32.799999999999997</v>
      </c>
      <c r="L96" s="35">
        <v>43.9</v>
      </c>
      <c r="M96" s="35">
        <v>29.2</v>
      </c>
      <c r="N96" s="35"/>
      <c r="O96" s="35">
        <v>5.8</v>
      </c>
      <c r="P96" s="35">
        <v>17.5</v>
      </c>
      <c r="Q96" s="35">
        <v>560.20000000000005</v>
      </c>
    </row>
    <row r="97" spans="1:17" ht="19.5" thickBot="1" x14ac:dyDescent="0.35">
      <c r="A97" s="37" t="s">
        <v>178</v>
      </c>
      <c r="B97" s="34">
        <f t="shared" si="35"/>
        <v>14.2</v>
      </c>
      <c r="C97" s="48">
        <v>10.7</v>
      </c>
      <c r="D97" s="35">
        <v>0.3</v>
      </c>
      <c r="E97" s="48">
        <v>0.2</v>
      </c>
      <c r="F97" s="35">
        <f t="shared" si="32"/>
        <v>11.2</v>
      </c>
      <c r="G97" s="48">
        <v>0.3</v>
      </c>
      <c r="H97" s="48">
        <v>-0.2</v>
      </c>
      <c r="I97" s="48">
        <v>0.7</v>
      </c>
      <c r="J97" s="48"/>
      <c r="K97" s="48">
        <v>0.1</v>
      </c>
      <c r="L97" s="48"/>
      <c r="M97" s="48">
        <v>1.8</v>
      </c>
      <c r="N97" s="48"/>
      <c r="O97" s="48">
        <v>0.2</v>
      </c>
      <c r="P97" s="48">
        <v>0.1</v>
      </c>
      <c r="Q97" s="35">
        <v>0</v>
      </c>
    </row>
    <row r="98" spans="1:17" ht="19.5" thickBot="1" x14ac:dyDescent="0.35">
      <c r="A98" s="49" t="s">
        <v>179</v>
      </c>
      <c r="B98" s="40">
        <f t="shared" ref="B98:C98" si="36">SUM(B88:B97)</f>
        <v>18903.499999999996</v>
      </c>
      <c r="C98" s="50">
        <f t="shared" si="36"/>
        <v>260.39999999999998</v>
      </c>
      <c r="D98" s="50">
        <f>SUM(D88:D97)</f>
        <v>842.1</v>
      </c>
      <c r="E98" s="50">
        <f t="shared" ref="E98:Q98" si="37">SUM(E88:E97)</f>
        <v>578.19999999999993</v>
      </c>
      <c r="F98" s="35">
        <f t="shared" si="32"/>
        <v>1680.6999999999998</v>
      </c>
      <c r="G98" s="50">
        <f t="shared" si="37"/>
        <v>1526.3</v>
      </c>
      <c r="H98" s="50">
        <f t="shared" si="37"/>
        <v>592.9</v>
      </c>
      <c r="I98" s="50">
        <f t="shared" si="37"/>
        <v>489.19999999999993</v>
      </c>
      <c r="J98" s="50"/>
      <c r="K98" s="50">
        <f t="shared" si="37"/>
        <v>1061.5</v>
      </c>
      <c r="L98" s="50">
        <f t="shared" si="37"/>
        <v>666.89999999999986</v>
      </c>
      <c r="M98" s="50">
        <f t="shared" si="37"/>
        <v>9004.4999999999982</v>
      </c>
      <c r="N98" s="50"/>
      <c r="O98" s="50">
        <f t="shared" si="37"/>
        <v>823.59999999999991</v>
      </c>
      <c r="P98" s="50">
        <f t="shared" si="37"/>
        <v>1077.5999999999999</v>
      </c>
      <c r="Q98" s="51">
        <f t="shared" si="37"/>
        <v>1980.3</v>
      </c>
    </row>
    <row r="99" spans="1:17" ht="19.5" thickBot="1" x14ac:dyDescent="0.35">
      <c r="A99" s="49" t="s">
        <v>180</v>
      </c>
      <c r="B99" s="40">
        <f t="shared" ref="B99:Q99" si="38">B98+B87</f>
        <v>225919.79999999996</v>
      </c>
      <c r="C99" s="50">
        <f t="shared" si="38"/>
        <v>7678.4999999999991</v>
      </c>
      <c r="D99" s="50">
        <f t="shared" si="38"/>
        <v>17532.400000000001</v>
      </c>
      <c r="E99" s="50">
        <f t="shared" si="38"/>
        <v>12502.900000000001</v>
      </c>
      <c r="F99" s="35">
        <f t="shared" si="32"/>
        <v>37713.800000000003</v>
      </c>
      <c r="G99" s="50">
        <f t="shared" si="38"/>
        <v>20028.099999999999</v>
      </c>
      <c r="H99" s="52">
        <f t="shared" si="38"/>
        <v>13276.499999999998</v>
      </c>
      <c r="I99" s="50">
        <f t="shared" si="38"/>
        <v>15692.500000000004</v>
      </c>
      <c r="J99" s="50"/>
      <c r="K99" s="50">
        <f t="shared" si="38"/>
        <v>18875</v>
      </c>
      <c r="L99" s="50">
        <f t="shared" si="38"/>
        <v>13619.800000000001</v>
      </c>
      <c r="M99" s="50">
        <f t="shared" si="38"/>
        <v>24125.7</v>
      </c>
      <c r="N99" s="50"/>
      <c r="O99" s="50">
        <f t="shared" si="38"/>
        <v>26022.1</v>
      </c>
      <c r="P99" s="50">
        <f t="shared" si="38"/>
        <v>21600.6</v>
      </c>
      <c r="Q99" s="51">
        <f t="shared" si="38"/>
        <v>34965.700000000004</v>
      </c>
    </row>
    <row r="100" spans="1:17" x14ac:dyDescent="0.2">
      <c r="B100" s="53"/>
    </row>
    <row r="101" spans="1:17" ht="15" x14ac:dyDescent="0.2">
      <c r="A101" s="26" t="s">
        <v>181</v>
      </c>
    </row>
    <row r="102" spans="1:17" ht="13.5" thickBot="1" x14ac:dyDescent="0.25"/>
    <row r="103" spans="1:17" ht="15" x14ac:dyDescent="0.2">
      <c r="A103" s="27" t="s">
        <v>148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9"/>
    </row>
    <row r="104" spans="1:17" ht="18.75" x14ac:dyDescent="0.3">
      <c r="A104" s="30"/>
      <c r="B104" s="32" t="s">
        <v>182</v>
      </c>
      <c r="C104" s="32" t="s">
        <v>150</v>
      </c>
      <c r="D104" s="32" t="s">
        <v>151</v>
      </c>
      <c r="E104" s="32" t="s">
        <v>152</v>
      </c>
      <c r="F104" s="32"/>
      <c r="G104" s="32" t="s">
        <v>153</v>
      </c>
      <c r="H104" s="32" t="s">
        <v>154</v>
      </c>
      <c r="I104" s="32" t="s">
        <v>155</v>
      </c>
      <c r="J104" s="32"/>
      <c r="K104" s="32" t="s">
        <v>156</v>
      </c>
      <c r="L104" s="32" t="s">
        <v>157</v>
      </c>
      <c r="M104" s="32" t="s">
        <v>158</v>
      </c>
      <c r="N104" s="32"/>
      <c r="O104" s="32" t="s">
        <v>159</v>
      </c>
      <c r="P104" s="32" t="s">
        <v>160</v>
      </c>
      <c r="Q104" s="32" t="s">
        <v>161</v>
      </c>
    </row>
    <row r="105" spans="1:17" ht="31.5" x14ac:dyDescent="0.3">
      <c r="A105" s="33" t="s">
        <v>183</v>
      </c>
      <c r="B105" s="35">
        <f t="shared" ref="B105:B110" si="39">C105+D105+E105+G105+H105+I105+K105+L105+M105+O105+P105+Q105</f>
        <v>139453.20000000001</v>
      </c>
      <c r="C105" s="35">
        <v>4278.3999999999996</v>
      </c>
      <c r="D105" s="35">
        <v>11023.7</v>
      </c>
      <c r="E105" s="35">
        <v>10598.7</v>
      </c>
      <c r="F105" s="35"/>
      <c r="G105" s="35">
        <v>13151.9</v>
      </c>
      <c r="H105" s="35">
        <v>10995</v>
      </c>
      <c r="I105" s="35">
        <v>12323.9</v>
      </c>
      <c r="J105" s="35"/>
      <c r="K105" s="35">
        <v>10743.3</v>
      </c>
      <c r="L105" s="35">
        <v>10353.700000000001</v>
      </c>
      <c r="M105" s="35">
        <v>9928.9</v>
      </c>
      <c r="N105" s="35"/>
      <c r="O105" s="35">
        <v>12564.1</v>
      </c>
      <c r="P105" s="35">
        <v>10414</v>
      </c>
      <c r="Q105" s="35">
        <v>23077.599999999999</v>
      </c>
    </row>
    <row r="106" spans="1:17" ht="18.75" x14ac:dyDescent="0.3">
      <c r="A106" s="37" t="s">
        <v>101</v>
      </c>
      <c r="B106" s="35">
        <f t="shared" si="39"/>
        <v>12927.400000000001</v>
      </c>
      <c r="C106" s="35">
        <v>1211.5</v>
      </c>
      <c r="D106" s="35">
        <v>956.9</v>
      </c>
      <c r="E106" s="35">
        <v>955.4</v>
      </c>
      <c r="F106" s="35"/>
      <c r="G106" s="35">
        <v>988</v>
      </c>
      <c r="H106" s="35">
        <v>1045.8</v>
      </c>
      <c r="I106" s="35">
        <v>948.5</v>
      </c>
      <c r="J106" s="35"/>
      <c r="K106" s="35">
        <v>1112</v>
      </c>
      <c r="L106" s="35">
        <v>1138.9000000000001</v>
      </c>
      <c r="M106" s="35">
        <v>1231.5999999999999</v>
      </c>
      <c r="N106" s="35"/>
      <c r="O106" s="35">
        <v>1144.5999999999999</v>
      </c>
      <c r="P106" s="35">
        <v>1143</v>
      </c>
      <c r="Q106" s="35">
        <v>1051.2</v>
      </c>
    </row>
    <row r="107" spans="1:17" ht="18.75" x14ac:dyDescent="0.3">
      <c r="A107" s="37" t="s">
        <v>163</v>
      </c>
      <c r="B107" s="35">
        <f t="shared" si="39"/>
        <v>7630.7000000000007</v>
      </c>
      <c r="C107" s="35">
        <v>1525.1</v>
      </c>
      <c r="D107" s="35">
        <v>57.9</v>
      </c>
      <c r="E107" s="35">
        <v>126.2</v>
      </c>
      <c r="F107" s="35"/>
      <c r="G107" s="35">
        <v>1816.9</v>
      </c>
      <c r="H107" s="35">
        <v>99.4</v>
      </c>
      <c r="I107" s="35">
        <v>228.7</v>
      </c>
      <c r="J107" s="35"/>
      <c r="K107" s="35">
        <v>1628.5</v>
      </c>
      <c r="L107" s="35">
        <v>198.5</v>
      </c>
      <c r="M107" s="35">
        <v>104.7</v>
      </c>
      <c r="N107" s="35"/>
      <c r="O107" s="35">
        <v>1421.2</v>
      </c>
      <c r="P107" s="35">
        <v>275.3</v>
      </c>
      <c r="Q107" s="35">
        <v>148.30000000000001</v>
      </c>
    </row>
    <row r="108" spans="1:17" ht="23.25" customHeight="1" x14ac:dyDescent="0.3">
      <c r="A108" s="33" t="s">
        <v>164</v>
      </c>
      <c r="B108" s="35">
        <f t="shared" si="39"/>
        <v>2012.8999999999996</v>
      </c>
      <c r="C108" s="35">
        <v>223</v>
      </c>
      <c r="D108" s="35">
        <v>27</v>
      </c>
      <c r="E108" s="35">
        <v>1680.8</v>
      </c>
      <c r="F108" s="35"/>
      <c r="G108" s="35">
        <v>25.6</v>
      </c>
      <c r="H108" s="35">
        <v>0.8</v>
      </c>
      <c r="I108" s="35">
        <v>30.3</v>
      </c>
      <c r="J108" s="35"/>
      <c r="K108" s="35">
        <v>1.3</v>
      </c>
      <c r="L108" s="35">
        <v>0.4</v>
      </c>
      <c r="M108" s="35"/>
      <c r="N108" s="35"/>
      <c r="O108" s="35">
        <v>0.1</v>
      </c>
      <c r="P108" s="35">
        <v>23.6</v>
      </c>
      <c r="Q108" s="35"/>
    </row>
    <row r="109" spans="1:17" ht="26.25" customHeight="1" x14ac:dyDescent="0.3">
      <c r="A109" s="33" t="s">
        <v>165</v>
      </c>
      <c r="B109" s="35">
        <f t="shared" si="39"/>
        <v>31.900000000000002</v>
      </c>
      <c r="C109" s="35"/>
      <c r="D109" s="35"/>
      <c r="E109" s="35"/>
      <c r="F109" s="35"/>
      <c r="G109" s="35">
        <v>18.8</v>
      </c>
      <c r="H109" s="35"/>
      <c r="I109" s="35">
        <v>12.9</v>
      </c>
      <c r="J109" s="35"/>
      <c r="K109" s="35">
        <v>0</v>
      </c>
      <c r="L109" s="35">
        <v>0.2</v>
      </c>
      <c r="M109" s="35"/>
      <c r="N109" s="35"/>
      <c r="O109" s="35"/>
      <c r="P109" s="35"/>
      <c r="Q109" s="35"/>
    </row>
    <row r="110" spans="1:17" ht="21.75" customHeight="1" x14ac:dyDescent="0.3">
      <c r="A110" s="37" t="s">
        <v>166</v>
      </c>
      <c r="B110" s="35">
        <f t="shared" si="39"/>
        <v>5841</v>
      </c>
      <c r="C110" s="35">
        <v>52</v>
      </c>
      <c r="D110" s="35">
        <v>95.9</v>
      </c>
      <c r="E110" s="35">
        <v>-15.7</v>
      </c>
      <c r="F110" s="35"/>
      <c r="G110" s="35">
        <v>105.3</v>
      </c>
      <c r="H110" s="35">
        <v>204.1</v>
      </c>
      <c r="I110" s="35">
        <v>108</v>
      </c>
      <c r="J110" s="35"/>
      <c r="K110" s="35">
        <v>49.8</v>
      </c>
      <c r="L110" s="35">
        <v>475.8</v>
      </c>
      <c r="M110" s="35">
        <v>488.8</v>
      </c>
      <c r="N110" s="35"/>
      <c r="O110" s="35">
        <v>800.8</v>
      </c>
      <c r="P110" s="35">
        <v>2493.6999999999998</v>
      </c>
      <c r="Q110" s="35">
        <v>982.5</v>
      </c>
    </row>
    <row r="111" spans="1:17" ht="18.75" x14ac:dyDescent="0.3">
      <c r="A111" s="37" t="s">
        <v>167</v>
      </c>
      <c r="B111" s="35">
        <f>B112+B113</f>
        <v>26568.000000000004</v>
      </c>
      <c r="C111" s="35">
        <f>C112+C113</f>
        <v>830</v>
      </c>
      <c r="D111" s="35">
        <f t="shared" ref="D111:Q111" si="40">D112+D113</f>
        <v>2084.3000000000002</v>
      </c>
      <c r="E111" s="35">
        <f t="shared" si="40"/>
        <v>684.2</v>
      </c>
      <c r="F111" s="35"/>
      <c r="G111" s="35">
        <f t="shared" si="40"/>
        <v>1302.8</v>
      </c>
      <c r="H111" s="35">
        <f t="shared" si="40"/>
        <v>6313.4</v>
      </c>
      <c r="I111" s="35">
        <f t="shared" si="40"/>
        <v>194.7</v>
      </c>
      <c r="J111" s="35"/>
      <c r="K111" s="35">
        <f t="shared" si="40"/>
        <v>2291.7999999999997</v>
      </c>
      <c r="L111" s="35">
        <f t="shared" si="40"/>
        <v>2265.1999999999998</v>
      </c>
      <c r="M111" s="35">
        <f t="shared" si="40"/>
        <v>1572.8</v>
      </c>
      <c r="N111" s="35"/>
      <c r="O111" s="35">
        <f t="shared" si="40"/>
        <v>3417.1</v>
      </c>
      <c r="P111" s="35">
        <f t="shared" si="40"/>
        <v>3650.2999999999997</v>
      </c>
      <c r="Q111" s="35">
        <f t="shared" si="40"/>
        <v>1961.4</v>
      </c>
    </row>
    <row r="112" spans="1:17" ht="18.75" x14ac:dyDescent="0.3">
      <c r="A112" s="37" t="s">
        <v>168</v>
      </c>
      <c r="B112" s="35">
        <f>C112+D112+E112+G112+H112+I112+K112+L112+M112+O112+P112+Q112</f>
        <v>14959.200000000003</v>
      </c>
      <c r="C112" s="35">
        <v>622.1</v>
      </c>
      <c r="D112" s="35">
        <v>1879.7</v>
      </c>
      <c r="E112" s="35">
        <v>252.3</v>
      </c>
      <c r="F112" s="35"/>
      <c r="G112" s="35">
        <v>1170.5</v>
      </c>
      <c r="H112" s="35">
        <v>6221.9</v>
      </c>
      <c r="I112" s="35">
        <v>133</v>
      </c>
      <c r="J112" s="35"/>
      <c r="K112" s="35">
        <v>2162.1</v>
      </c>
      <c r="L112" s="35">
        <v>283</v>
      </c>
      <c r="M112" s="35">
        <v>120.2</v>
      </c>
      <c r="N112" s="35"/>
      <c r="O112" s="35">
        <v>1406</v>
      </c>
      <c r="P112" s="35">
        <v>423.2</v>
      </c>
      <c r="Q112" s="35">
        <v>285.2</v>
      </c>
    </row>
    <row r="113" spans="1:17" ht="18.75" x14ac:dyDescent="0.3">
      <c r="A113" s="37" t="s">
        <v>169</v>
      </c>
      <c r="B113" s="35">
        <f>C113+D113+E113+G113+H113+I113+K113+L113+M113+O113+P113+Q113</f>
        <v>11608.800000000001</v>
      </c>
      <c r="C113" s="35">
        <v>207.9</v>
      </c>
      <c r="D113" s="35">
        <v>204.6</v>
      </c>
      <c r="E113" s="35">
        <v>431.9</v>
      </c>
      <c r="F113" s="35"/>
      <c r="G113" s="35">
        <v>132.30000000000001</v>
      </c>
      <c r="H113" s="35">
        <v>91.5</v>
      </c>
      <c r="I113" s="35">
        <v>61.7</v>
      </c>
      <c r="J113" s="35"/>
      <c r="K113" s="35">
        <v>129.69999999999999</v>
      </c>
      <c r="L113" s="35">
        <v>1982.2</v>
      </c>
      <c r="M113" s="35">
        <v>1452.6</v>
      </c>
      <c r="N113" s="35"/>
      <c r="O113" s="35">
        <v>2011.1</v>
      </c>
      <c r="P113" s="35">
        <v>3227.1</v>
      </c>
      <c r="Q113" s="35">
        <v>1676.2</v>
      </c>
    </row>
    <row r="114" spans="1:17" ht="19.5" thickBot="1" x14ac:dyDescent="0.35">
      <c r="A114" s="37" t="s">
        <v>105</v>
      </c>
      <c r="B114" s="35">
        <f>C114+D114+E114+G114+H114+I114+K114+L114+M114+O114+P114+Q114</f>
        <v>3291.5</v>
      </c>
      <c r="C114" s="35">
        <v>225.4</v>
      </c>
      <c r="D114" s="35">
        <v>423.8</v>
      </c>
      <c r="E114" s="35">
        <v>220</v>
      </c>
      <c r="F114" s="35"/>
      <c r="G114" s="35">
        <v>262.7</v>
      </c>
      <c r="H114" s="35">
        <v>202.4</v>
      </c>
      <c r="I114" s="35">
        <v>213.1</v>
      </c>
      <c r="J114" s="35"/>
      <c r="K114" s="35">
        <v>248</v>
      </c>
      <c r="L114" s="35">
        <v>298.39999999999998</v>
      </c>
      <c r="M114" s="35">
        <v>237.6</v>
      </c>
      <c r="N114" s="35"/>
      <c r="O114" s="35">
        <v>383.1</v>
      </c>
      <c r="P114" s="35">
        <v>294.89999999999998</v>
      </c>
      <c r="Q114" s="35">
        <v>282.10000000000002</v>
      </c>
    </row>
    <row r="115" spans="1:17" ht="19.5" hidden="1" thickBot="1" x14ac:dyDescent="0.35">
      <c r="A115" s="37" t="s">
        <v>184</v>
      </c>
      <c r="B115" s="35">
        <f>C115+D115+E115+G115+H115+I115+K115+L115+M115+O115+P115+Q115</f>
        <v>0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35"/>
    </row>
    <row r="116" spans="1:17" ht="19.5" thickBot="1" x14ac:dyDescent="0.35">
      <c r="A116" s="39" t="s">
        <v>145</v>
      </c>
      <c r="B116" s="41">
        <f>B105+B106+B107+B108+B109+B110+B111+B114+B115</f>
        <v>197756.6</v>
      </c>
      <c r="C116" s="41">
        <f>C105+C106+C107+C108+C109+C110+C111+C114+C115</f>
        <v>8345.4</v>
      </c>
      <c r="D116" s="41">
        <f t="shared" ref="D116:Q116" si="41">D105+D106+D107+D108+D109+D110+D111+D114+D115</f>
        <v>14669.5</v>
      </c>
      <c r="E116" s="41">
        <f t="shared" si="41"/>
        <v>14249.6</v>
      </c>
      <c r="F116" s="41"/>
      <c r="G116" s="41">
        <f t="shared" si="41"/>
        <v>17672</v>
      </c>
      <c r="H116" s="41">
        <f t="shared" si="41"/>
        <v>18860.900000000001</v>
      </c>
      <c r="I116" s="41">
        <f t="shared" si="41"/>
        <v>14060.1</v>
      </c>
      <c r="J116" s="41"/>
      <c r="K116" s="41">
        <f t="shared" si="41"/>
        <v>16074.699999999997</v>
      </c>
      <c r="L116" s="41">
        <f t="shared" si="41"/>
        <v>14731.1</v>
      </c>
      <c r="M116" s="41">
        <f t="shared" si="41"/>
        <v>13564.4</v>
      </c>
      <c r="N116" s="41"/>
      <c r="O116" s="41">
        <f t="shared" si="41"/>
        <v>19731</v>
      </c>
      <c r="P116" s="41">
        <f t="shared" si="41"/>
        <v>18294.8</v>
      </c>
      <c r="Q116" s="54">
        <f t="shared" si="41"/>
        <v>27503.1</v>
      </c>
    </row>
    <row r="117" spans="1:17" ht="18.75" x14ac:dyDescent="0.3">
      <c r="A117" s="43" t="s">
        <v>170</v>
      </c>
      <c r="B117" s="35">
        <f t="shared" ref="B117:B126" si="42">C117+D117+E117+G117+H117+I117+K117+L117+M117+O117+P117+Q117</f>
        <v>211</v>
      </c>
      <c r="C117" s="44"/>
      <c r="D117" s="44"/>
      <c r="E117" s="44"/>
      <c r="F117" s="44"/>
      <c r="G117" s="44">
        <v>73</v>
      </c>
      <c r="H117" s="44"/>
      <c r="I117" s="44"/>
      <c r="J117" s="44"/>
      <c r="K117" s="44"/>
      <c r="L117" s="44">
        <v>138</v>
      </c>
      <c r="M117" s="44"/>
      <c r="N117" s="44"/>
      <c r="O117" s="44"/>
      <c r="P117" s="44"/>
      <c r="Q117" s="35"/>
    </row>
    <row r="118" spans="1:17" ht="18.75" x14ac:dyDescent="0.3">
      <c r="A118" s="45" t="s">
        <v>185</v>
      </c>
      <c r="B118" s="46">
        <f t="shared" si="42"/>
        <v>3527.5000000000005</v>
      </c>
      <c r="C118" s="46">
        <v>224.1</v>
      </c>
      <c r="D118" s="47">
        <v>328</v>
      </c>
      <c r="E118" s="46">
        <v>395.8</v>
      </c>
      <c r="F118" s="46"/>
      <c r="G118" s="46">
        <v>244.2</v>
      </c>
      <c r="H118" s="46">
        <v>254.2</v>
      </c>
      <c r="I118" s="46">
        <v>289.8</v>
      </c>
      <c r="J118" s="46"/>
      <c r="K118" s="46">
        <v>241.4</v>
      </c>
      <c r="L118" s="46">
        <v>314.60000000000002</v>
      </c>
      <c r="M118" s="46">
        <v>237.1</v>
      </c>
      <c r="N118" s="46"/>
      <c r="O118" s="35">
        <v>282.8</v>
      </c>
      <c r="P118" s="35">
        <v>325.10000000000002</v>
      </c>
      <c r="Q118" s="35">
        <v>390.4</v>
      </c>
    </row>
    <row r="119" spans="1:17" ht="18.75" x14ac:dyDescent="0.3">
      <c r="A119" s="37" t="s">
        <v>107</v>
      </c>
      <c r="B119" s="35">
        <f t="shared" si="42"/>
        <v>643.20000000000005</v>
      </c>
      <c r="C119" s="35">
        <v>37.5</v>
      </c>
      <c r="D119" s="35">
        <v>50</v>
      </c>
      <c r="E119" s="35">
        <v>47.4</v>
      </c>
      <c r="F119" s="35"/>
      <c r="G119" s="35">
        <v>87.8</v>
      </c>
      <c r="H119" s="35">
        <v>56.9</v>
      </c>
      <c r="I119" s="35">
        <v>76.2</v>
      </c>
      <c r="J119" s="35"/>
      <c r="K119" s="35">
        <v>67.5</v>
      </c>
      <c r="L119" s="35">
        <v>27.1</v>
      </c>
      <c r="M119" s="35">
        <v>27.9</v>
      </c>
      <c r="N119" s="35"/>
      <c r="O119" s="35">
        <v>52.7</v>
      </c>
      <c r="P119" s="35">
        <v>24</v>
      </c>
      <c r="Q119" s="35">
        <v>88.2</v>
      </c>
    </row>
    <row r="120" spans="1:17" ht="18.75" x14ac:dyDescent="0.3">
      <c r="A120" s="37" t="s">
        <v>173</v>
      </c>
      <c r="B120" s="35">
        <f t="shared" si="42"/>
        <v>1065.0000000000002</v>
      </c>
      <c r="C120" s="35">
        <v>75.2</v>
      </c>
      <c r="D120" s="35">
        <v>63.9</v>
      </c>
      <c r="E120" s="35">
        <v>69.099999999999994</v>
      </c>
      <c r="F120" s="35"/>
      <c r="G120" s="35">
        <v>86.8</v>
      </c>
      <c r="H120" s="35">
        <v>95.1</v>
      </c>
      <c r="I120" s="35">
        <v>96.4</v>
      </c>
      <c r="J120" s="35"/>
      <c r="K120" s="35">
        <v>107.7</v>
      </c>
      <c r="L120" s="35">
        <v>90.2</v>
      </c>
      <c r="M120" s="35">
        <v>94.1</v>
      </c>
      <c r="N120" s="35"/>
      <c r="O120" s="35">
        <v>88.7</v>
      </c>
      <c r="P120" s="35">
        <v>96.2</v>
      </c>
      <c r="Q120" s="35">
        <v>101.6</v>
      </c>
    </row>
    <row r="121" spans="1:17" ht="18.75" x14ac:dyDescent="0.3">
      <c r="A121" s="37" t="s">
        <v>174</v>
      </c>
      <c r="B121" s="35">
        <f t="shared" si="42"/>
        <v>1873.6000000000001</v>
      </c>
      <c r="C121" s="35">
        <v>1.3</v>
      </c>
      <c r="D121" s="35">
        <v>1372.7</v>
      </c>
      <c r="E121" s="35">
        <v>1.3</v>
      </c>
      <c r="F121" s="35"/>
      <c r="G121" s="35">
        <v>51.2</v>
      </c>
      <c r="H121" s="35">
        <v>66.5</v>
      </c>
      <c r="I121" s="35"/>
      <c r="J121" s="35"/>
      <c r="K121" s="35">
        <v>11.4</v>
      </c>
      <c r="L121" s="35">
        <v>37.200000000000003</v>
      </c>
      <c r="M121" s="35">
        <v>3.1</v>
      </c>
      <c r="N121" s="35"/>
      <c r="O121" s="35">
        <v>90</v>
      </c>
      <c r="P121" s="35">
        <v>11.9</v>
      </c>
      <c r="Q121" s="35">
        <v>227</v>
      </c>
    </row>
    <row r="122" spans="1:17" ht="18.75" x14ac:dyDescent="0.3">
      <c r="A122" s="37" t="s">
        <v>175</v>
      </c>
      <c r="B122" s="35">
        <f t="shared" si="42"/>
        <v>2243.4</v>
      </c>
      <c r="C122" s="35"/>
      <c r="D122" s="35"/>
      <c r="E122" s="35"/>
      <c r="F122" s="35"/>
      <c r="G122" s="35"/>
      <c r="H122" s="35">
        <v>117.6</v>
      </c>
      <c r="I122" s="35"/>
      <c r="J122" s="35"/>
      <c r="K122" s="35">
        <v>74.599999999999994</v>
      </c>
      <c r="L122" s="35">
        <v>19.600000000000001</v>
      </c>
      <c r="M122" s="35"/>
      <c r="N122" s="35"/>
      <c r="O122" s="35">
        <v>2031.6</v>
      </c>
      <c r="P122" s="35"/>
      <c r="Q122" s="35"/>
    </row>
    <row r="123" spans="1:17" ht="18.75" x14ac:dyDescent="0.3">
      <c r="A123" s="37" t="s">
        <v>108</v>
      </c>
      <c r="B123" s="35">
        <f t="shared" si="42"/>
        <v>1956.5</v>
      </c>
      <c r="C123" s="35">
        <v>46.8</v>
      </c>
      <c r="D123" s="35">
        <v>13.6</v>
      </c>
      <c r="E123" s="35"/>
      <c r="F123" s="35"/>
      <c r="G123" s="35">
        <v>220.9</v>
      </c>
      <c r="H123" s="35">
        <v>50.4</v>
      </c>
      <c r="I123" s="35">
        <v>169.3</v>
      </c>
      <c r="J123" s="35"/>
      <c r="K123" s="35">
        <v>55</v>
      </c>
      <c r="L123" s="35">
        <v>9.3000000000000007</v>
      </c>
      <c r="M123" s="35">
        <v>151.80000000000001</v>
      </c>
      <c r="N123" s="35"/>
      <c r="O123" s="35">
        <v>124.2</v>
      </c>
      <c r="P123" s="35">
        <v>907.6</v>
      </c>
      <c r="Q123" s="35">
        <v>207.6</v>
      </c>
    </row>
    <row r="124" spans="1:17" ht="47.25" x14ac:dyDescent="0.3">
      <c r="A124" s="33" t="s">
        <v>176</v>
      </c>
      <c r="B124" s="35">
        <f t="shared" si="42"/>
        <v>25.5</v>
      </c>
      <c r="C124" s="35">
        <v>0.9</v>
      </c>
      <c r="D124" s="35">
        <v>2.8</v>
      </c>
      <c r="E124" s="35">
        <v>13.2</v>
      </c>
      <c r="F124" s="35"/>
      <c r="G124" s="35">
        <v>5.0999999999999996</v>
      </c>
      <c r="H124" s="35"/>
      <c r="I124" s="35"/>
      <c r="J124" s="35"/>
      <c r="K124" s="35">
        <v>1.9</v>
      </c>
      <c r="L124" s="35">
        <v>0.1</v>
      </c>
      <c r="M124" s="35"/>
      <c r="N124" s="35"/>
      <c r="O124" s="35">
        <v>1.5</v>
      </c>
      <c r="P124" s="35"/>
      <c r="Q124" s="35"/>
    </row>
    <row r="125" spans="1:17" ht="18.75" x14ac:dyDescent="0.3">
      <c r="A125" s="37" t="s">
        <v>177</v>
      </c>
      <c r="B125" s="35">
        <f t="shared" si="42"/>
        <v>1755</v>
      </c>
      <c r="C125" s="35">
        <v>55.5</v>
      </c>
      <c r="D125" s="35">
        <v>95.9</v>
      </c>
      <c r="E125" s="35">
        <v>144.9</v>
      </c>
      <c r="F125" s="35"/>
      <c r="G125" s="35">
        <v>170.6</v>
      </c>
      <c r="H125" s="35">
        <v>114</v>
      </c>
      <c r="I125" s="35">
        <v>170.6</v>
      </c>
      <c r="J125" s="35"/>
      <c r="K125" s="35">
        <v>253.5</v>
      </c>
      <c r="L125" s="35">
        <v>223.6</v>
      </c>
      <c r="M125" s="35">
        <v>178.2</v>
      </c>
      <c r="N125" s="35"/>
      <c r="O125" s="35">
        <v>90.6</v>
      </c>
      <c r="P125" s="35">
        <v>37.200000000000003</v>
      </c>
      <c r="Q125" s="35">
        <v>220.4</v>
      </c>
    </row>
    <row r="126" spans="1:17" ht="19.5" thickBot="1" x14ac:dyDescent="0.35">
      <c r="A126" s="37" t="s">
        <v>178</v>
      </c>
      <c r="B126" s="35">
        <f t="shared" si="42"/>
        <v>1426.3999999999999</v>
      </c>
      <c r="C126" s="48">
        <v>1.4</v>
      </c>
      <c r="D126" s="35">
        <v>0.5</v>
      </c>
      <c r="E126" s="48">
        <v>1381.8</v>
      </c>
      <c r="F126" s="48"/>
      <c r="G126" s="48">
        <v>4.7</v>
      </c>
      <c r="H126" s="48">
        <v>0.2</v>
      </c>
      <c r="I126" s="48">
        <v>7</v>
      </c>
      <c r="J126" s="48"/>
      <c r="K126" s="48">
        <v>4.0999999999999996</v>
      </c>
      <c r="L126" s="48">
        <v>8.8000000000000007</v>
      </c>
      <c r="M126" s="48">
        <v>0.3</v>
      </c>
      <c r="N126" s="48"/>
      <c r="O126" s="48">
        <v>11.1</v>
      </c>
      <c r="P126" s="48">
        <v>3.3</v>
      </c>
      <c r="Q126" s="35">
        <v>3.2</v>
      </c>
    </row>
    <row r="127" spans="1:17" ht="19.5" thickBot="1" x14ac:dyDescent="0.35">
      <c r="A127" s="49" t="s">
        <v>179</v>
      </c>
      <c r="B127" s="50">
        <f t="shared" ref="B127:C127" si="43">SUM(B117:B126)</f>
        <v>14727.1</v>
      </c>
      <c r="C127" s="50">
        <f t="shared" si="43"/>
        <v>442.7</v>
      </c>
      <c r="D127" s="50">
        <f>SUM(D117:D126)</f>
        <v>1927.3999999999999</v>
      </c>
      <c r="E127" s="50">
        <f t="shared" ref="E127:Q127" si="44">SUM(E117:E126)</f>
        <v>2053.5</v>
      </c>
      <c r="F127" s="50"/>
      <c r="G127" s="50">
        <f t="shared" si="44"/>
        <v>944.30000000000007</v>
      </c>
      <c r="H127" s="50">
        <f t="shared" si="44"/>
        <v>754.9</v>
      </c>
      <c r="I127" s="50">
        <f t="shared" si="44"/>
        <v>809.30000000000007</v>
      </c>
      <c r="J127" s="50"/>
      <c r="K127" s="50">
        <f t="shared" si="44"/>
        <v>817.09999999999991</v>
      </c>
      <c r="L127" s="50">
        <f t="shared" si="44"/>
        <v>868.50000000000011</v>
      </c>
      <c r="M127" s="50">
        <f t="shared" si="44"/>
        <v>692.5</v>
      </c>
      <c r="N127" s="50"/>
      <c r="O127" s="50">
        <f t="shared" si="44"/>
        <v>2773.2</v>
      </c>
      <c r="P127" s="50">
        <f t="shared" si="44"/>
        <v>1405.3</v>
      </c>
      <c r="Q127" s="51">
        <f t="shared" si="44"/>
        <v>1238.4000000000001</v>
      </c>
    </row>
    <row r="128" spans="1:17" ht="19.5" thickBot="1" x14ac:dyDescent="0.35">
      <c r="A128" s="49" t="s">
        <v>180</v>
      </c>
      <c r="B128" s="50">
        <f t="shared" ref="B128:Q128" si="45">B127+B116</f>
        <v>212483.7</v>
      </c>
      <c r="C128" s="50">
        <f t="shared" si="45"/>
        <v>8788.1</v>
      </c>
      <c r="D128" s="50">
        <f t="shared" si="45"/>
        <v>16596.900000000001</v>
      </c>
      <c r="E128" s="50">
        <f t="shared" si="45"/>
        <v>16303.1</v>
      </c>
      <c r="F128" s="50"/>
      <c r="G128" s="50">
        <f t="shared" si="45"/>
        <v>18616.3</v>
      </c>
      <c r="H128" s="50">
        <f t="shared" si="45"/>
        <v>19615.800000000003</v>
      </c>
      <c r="I128" s="50">
        <f t="shared" si="45"/>
        <v>14869.4</v>
      </c>
      <c r="J128" s="50"/>
      <c r="K128" s="50">
        <f t="shared" si="45"/>
        <v>16891.799999999996</v>
      </c>
      <c r="L128" s="50">
        <f t="shared" si="45"/>
        <v>15599.6</v>
      </c>
      <c r="M128" s="50">
        <f t="shared" si="45"/>
        <v>14256.9</v>
      </c>
      <c r="N128" s="50"/>
      <c r="O128" s="50">
        <f t="shared" si="45"/>
        <v>22504.2</v>
      </c>
      <c r="P128" s="50">
        <f t="shared" si="45"/>
        <v>19700.099999999999</v>
      </c>
      <c r="Q128" s="51">
        <f t="shared" si="45"/>
        <v>28741.5</v>
      </c>
    </row>
    <row r="130" spans="1:17" ht="15.75" x14ac:dyDescent="0.25">
      <c r="A130" s="55" t="s">
        <v>186</v>
      </c>
    </row>
    <row r="131" spans="1:17" ht="13.5" thickBot="1" x14ac:dyDescent="0.25"/>
    <row r="132" spans="1:17" ht="15" x14ac:dyDescent="0.2">
      <c r="A132" s="27" t="s">
        <v>148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9"/>
    </row>
    <row r="133" spans="1:17" ht="18.75" x14ac:dyDescent="0.3">
      <c r="A133" s="30"/>
      <c r="B133" s="32" t="s">
        <v>182</v>
      </c>
      <c r="C133" s="32" t="s">
        <v>150</v>
      </c>
      <c r="D133" s="32" t="s">
        <v>151</v>
      </c>
      <c r="E133" s="32" t="s">
        <v>152</v>
      </c>
      <c r="F133" s="32"/>
      <c r="G133" s="32" t="s">
        <v>153</v>
      </c>
      <c r="H133" s="32" t="s">
        <v>154</v>
      </c>
      <c r="I133" s="32" t="s">
        <v>155</v>
      </c>
      <c r="J133" s="32"/>
      <c r="K133" s="32" t="s">
        <v>156</v>
      </c>
      <c r="L133" s="32" t="s">
        <v>157</v>
      </c>
      <c r="M133" s="32" t="s">
        <v>158</v>
      </c>
      <c r="N133" s="32"/>
      <c r="O133" s="32" t="s">
        <v>159</v>
      </c>
      <c r="P133" s="32" t="s">
        <v>160</v>
      </c>
      <c r="Q133" s="32" t="s">
        <v>161</v>
      </c>
    </row>
    <row r="134" spans="1:17" ht="31.5" x14ac:dyDescent="0.3">
      <c r="A134" s="33" t="s">
        <v>183</v>
      </c>
      <c r="B134" s="35">
        <f t="shared" ref="B134:B139" si="46">C134+D134+E134+G134+H134+I134+K134+L134+M134+O134+P134+Q134</f>
        <v>132343.4</v>
      </c>
      <c r="C134" s="35">
        <v>4232.1000000000004</v>
      </c>
      <c r="D134" s="35">
        <v>9899</v>
      </c>
      <c r="E134" s="35">
        <v>10558.9</v>
      </c>
      <c r="F134" s="35"/>
      <c r="G134" s="35">
        <v>10419.299999999999</v>
      </c>
      <c r="H134" s="35">
        <v>11359.9</v>
      </c>
      <c r="I134" s="35">
        <v>13137.2</v>
      </c>
      <c r="J134" s="35"/>
      <c r="K134" s="35">
        <v>9801.1</v>
      </c>
      <c r="L134" s="35">
        <v>10519.9</v>
      </c>
      <c r="M134" s="35">
        <v>8937.6</v>
      </c>
      <c r="N134" s="35"/>
      <c r="O134" s="35">
        <v>12407.9</v>
      </c>
      <c r="P134" s="35">
        <v>11293.7</v>
      </c>
      <c r="Q134" s="35">
        <v>19776.8</v>
      </c>
    </row>
    <row r="135" spans="1:17" ht="18.75" x14ac:dyDescent="0.3">
      <c r="A135" s="37" t="s">
        <v>101</v>
      </c>
      <c r="B135" s="35">
        <f t="shared" si="46"/>
        <v>11405.400000000001</v>
      </c>
      <c r="C135" s="35">
        <v>850.8</v>
      </c>
      <c r="D135" s="35">
        <v>317.8</v>
      </c>
      <c r="E135" s="35">
        <v>1333.2</v>
      </c>
      <c r="F135" s="35"/>
      <c r="G135" s="35">
        <v>881.2</v>
      </c>
      <c r="H135" s="35">
        <v>913.5</v>
      </c>
      <c r="I135" s="35">
        <v>883.6</v>
      </c>
      <c r="J135" s="35"/>
      <c r="K135" s="35">
        <v>1067.4000000000001</v>
      </c>
      <c r="L135" s="35">
        <v>998.3</v>
      </c>
      <c r="M135" s="35">
        <v>1101.5999999999999</v>
      </c>
      <c r="N135" s="35"/>
      <c r="O135" s="35">
        <v>1019.1</v>
      </c>
      <c r="P135" s="35">
        <v>1010.2</v>
      </c>
      <c r="Q135" s="35">
        <v>1028.7</v>
      </c>
    </row>
    <row r="136" spans="1:17" ht="18.75" x14ac:dyDescent="0.3">
      <c r="A136" s="37" t="s">
        <v>163</v>
      </c>
      <c r="B136" s="35">
        <f t="shared" si="46"/>
        <v>8961.6</v>
      </c>
      <c r="C136" s="35">
        <v>2044.6</v>
      </c>
      <c r="D136" s="35">
        <v>78.8</v>
      </c>
      <c r="E136" s="35">
        <v>59.6</v>
      </c>
      <c r="F136" s="35"/>
      <c r="G136" s="35">
        <v>1857.7</v>
      </c>
      <c r="H136" s="35">
        <v>263.39999999999998</v>
      </c>
      <c r="I136" s="35">
        <v>194.1</v>
      </c>
      <c r="J136" s="35"/>
      <c r="K136" s="35">
        <v>1851.6</v>
      </c>
      <c r="L136" s="35">
        <v>423.4</v>
      </c>
      <c r="M136" s="35">
        <v>60</v>
      </c>
      <c r="N136" s="35"/>
      <c r="O136" s="35">
        <v>1579.7</v>
      </c>
      <c r="P136" s="35">
        <v>384.6</v>
      </c>
      <c r="Q136" s="35">
        <v>164.1</v>
      </c>
    </row>
    <row r="137" spans="1:17" ht="47.25" x14ac:dyDescent="0.3">
      <c r="A137" s="33" t="s">
        <v>12</v>
      </c>
      <c r="B137" s="35">
        <f t="shared" si="46"/>
        <v>701.99999999999977</v>
      </c>
      <c r="C137" s="35"/>
      <c r="D137" s="35">
        <v>26.2</v>
      </c>
      <c r="E137" s="35">
        <v>389.9</v>
      </c>
      <c r="F137" s="35"/>
      <c r="G137" s="35">
        <v>78.599999999999994</v>
      </c>
      <c r="H137" s="35">
        <v>28.2</v>
      </c>
      <c r="I137" s="35"/>
      <c r="J137" s="35"/>
      <c r="K137" s="35">
        <v>174.7</v>
      </c>
      <c r="L137" s="35">
        <v>2.4</v>
      </c>
      <c r="M137" s="35">
        <v>0.4</v>
      </c>
      <c r="N137" s="35"/>
      <c r="O137" s="35">
        <v>0.3</v>
      </c>
      <c r="P137" s="35">
        <v>1.3</v>
      </c>
      <c r="Q137" s="35"/>
    </row>
    <row r="138" spans="1:17" ht="63" x14ac:dyDescent="0.3">
      <c r="A138" s="33" t="s">
        <v>187</v>
      </c>
      <c r="B138" s="35">
        <f t="shared" si="46"/>
        <v>77.400000000000006</v>
      </c>
      <c r="C138" s="35"/>
      <c r="D138" s="35"/>
      <c r="E138" s="35"/>
      <c r="F138" s="35"/>
      <c r="G138" s="35">
        <v>24.7</v>
      </c>
      <c r="H138" s="35">
        <v>5.5</v>
      </c>
      <c r="I138" s="35"/>
      <c r="J138" s="35"/>
      <c r="K138" s="35">
        <v>18.600000000000001</v>
      </c>
      <c r="L138" s="35">
        <v>1</v>
      </c>
      <c r="M138" s="35">
        <v>7.9</v>
      </c>
      <c r="N138" s="35"/>
      <c r="O138" s="35">
        <v>0.1</v>
      </c>
      <c r="P138" s="35">
        <v>0.1</v>
      </c>
      <c r="Q138" s="35">
        <v>19.5</v>
      </c>
    </row>
    <row r="139" spans="1:17" ht="18.75" x14ac:dyDescent="0.3">
      <c r="A139" s="37" t="s">
        <v>166</v>
      </c>
      <c r="B139" s="35">
        <f t="shared" si="46"/>
        <v>5128.5999999999995</v>
      </c>
      <c r="C139" s="35">
        <v>99.4</v>
      </c>
      <c r="D139" s="35">
        <v>220</v>
      </c>
      <c r="E139" s="35">
        <v>118</v>
      </c>
      <c r="F139" s="35"/>
      <c r="G139" s="35">
        <v>160.1</v>
      </c>
      <c r="H139" s="35">
        <v>26.6</v>
      </c>
      <c r="I139" s="35">
        <v>10.9</v>
      </c>
      <c r="J139" s="35"/>
      <c r="K139" s="35">
        <v>9.9</v>
      </c>
      <c r="L139" s="35">
        <v>264.7</v>
      </c>
      <c r="M139" s="35">
        <v>193</v>
      </c>
      <c r="N139" s="35"/>
      <c r="O139" s="35">
        <v>963.6</v>
      </c>
      <c r="P139" s="35">
        <v>2349</v>
      </c>
      <c r="Q139" s="35">
        <v>713.4</v>
      </c>
    </row>
    <row r="140" spans="1:17" ht="18.75" x14ac:dyDescent="0.3">
      <c r="A140" s="37" t="s">
        <v>167</v>
      </c>
      <c r="B140" s="35">
        <f>B141+B142</f>
        <v>21281.5</v>
      </c>
      <c r="C140" s="35">
        <f t="shared" ref="C140:Q140" si="47">C141+C142</f>
        <v>1365</v>
      </c>
      <c r="D140" s="35">
        <f t="shared" si="47"/>
        <v>548.29999999999995</v>
      </c>
      <c r="E140" s="35">
        <f t="shared" si="47"/>
        <v>1196.9000000000001</v>
      </c>
      <c r="F140" s="35"/>
      <c r="G140" s="35">
        <f t="shared" si="47"/>
        <v>1329.8</v>
      </c>
      <c r="H140" s="35">
        <f t="shared" si="47"/>
        <v>612.4</v>
      </c>
      <c r="I140" s="35">
        <f t="shared" si="47"/>
        <v>416.90000000000003</v>
      </c>
      <c r="J140" s="35"/>
      <c r="K140" s="35">
        <f t="shared" si="47"/>
        <v>2102.2999999999997</v>
      </c>
      <c r="L140" s="35">
        <f t="shared" si="47"/>
        <v>255.5</v>
      </c>
      <c r="M140" s="35">
        <f t="shared" si="47"/>
        <v>547.29999999999995</v>
      </c>
      <c r="N140" s="35"/>
      <c r="O140" s="35">
        <f t="shared" si="47"/>
        <v>5574.7</v>
      </c>
      <c r="P140" s="35">
        <f t="shared" si="47"/>
        <v>4664.3999999999996</v>
      </c>
      <c r="Q140" s="35">
        <f t="shared" si="47"/>
        <v>2668</v>
      </c>
    </row>
    <row r="141" spans="1:17" ht="18.75" x14ac:dyDescent="0.3">
      <c r="A141" s="37" t="s">
        <v>168</v>
      </c>
      <c r="B141" s="35">
        <f>C141+D141+E141+G141+H141+I141+K141+L141+M141+O141+P141+Q141</f>
        <v>8414.5999999999985</v>
      </c>
      <c r="C141" s="35">
        <v>1198.5</v>
      </c>
      <c r="D141" s="35">
        <v>324.5</v>
      </c>
      <c r="E141" s="35">
        <v>1060.9000000000001</v>
      </c>
      <c r="F141" s="35"/>
      <c r="G141" s="35">
        <v>1225</v>
      </c>
      <c r="H141" s="35">
        <v>502.5</v>
      </c>
      <c r="I141" s="35">
        <v>108.3</v>
      </c>
      <c r="J141" s="35"/>
      <c r="K141" s="35">
        <v>1675.1</v>
      </c>
      <c r="L141" s="35">
        <f>157.3</f>
        <v>157.30000000000001</v>
      </c>
      <c r="M141" s="35">
        <v>61.9</v>
      </c>
      <c r="N141" s="35"/>
      <c r="O141" s="35">
        <v>1609.7</v>
      </c>
      <c r="P141" s="35">
        <v>289.5</v>
      </c>
      <c r="Q141" s="35">
        <v>201.4</v>
      </c>
    </row>
    <row r="142" spans="1:17" ht="18.75" x14ac:dyDescent="0.3">
      <c r="A142" s="37" t="s">
        <v>169</v>
      </c>
      <c r="B142" s="35">
        <f>C142+D142+E142+G142+H142+I142+K142+L142+M142+O142+P142+Q142</f>
        <v>12866.9</v>
      </c>
      <c r="C142" s="35">
        <v>166.5</v>
      </c>
      <c r="D142" s="35">
        <v>223.8</v>
      </c>
      <c r="E142" s="35">
        <v>136</v>
      </c>
      <c r="F142" s="35"/>
      <c r="G142" s="35">
        <v>104.8</v>
      </c>
      <c r="H142" s="35">
        <v>109.9</v>
      </c>
      <c r="I142" s="35">
        <v>308.60000000000002</v>
      </c>
      <c r="J142" s="35"/>
      <c r="K142" s="35">
        <v>427.2</v>
      </c>
      <c r="L142" s="35">
        <f>101.9-3.7</f>
        <v>98.2</v>
      </c>
      <c r="M142" s="35">
        <v>485.4</v>
      </c>
      <c r="N142" s="35"/>
      <c r="O142" s="35">
        <v>3965</v>
      </c>
      <c r="P142" s="35">
        <v>4374.8999999999996</v>
      </c>
      <c r="Q142" s="35">
        <v>2466.6</v>
      </c>
    </row>
    <row r="143" spans="1:17" ht="18.75" x14ac:dyDescent="0.3">
      <c r="A143" s="37" t="s">
        <v>105</v>
      </c>
      <c r="B143" s="35">
        <f>C143+D143+E143+G143+H143+I143+K143+L143+M143+O143+P143+Q143</f>
        <v>2583.6</v>
      </c>
      <c r="C143" s="35">
        <v>162.1</v>
      </c>
      <c r="D143" s="35">
        <v>206.2</v>
      </c>
      <c r="E143" s="35">
        <v>255.4</v>
      </c>
      <c r="F143" s="35"/>
      <c r="G143" s="35">
        <v>160.5</v>
      </c>
      <c r="H143" s="35">
        <v>223.1</v>
      </c>
      <c r="I143" s="35">
        <v>306</v>
      </c>
      <c r="J143" s="35"/>
      <c r="K143" s="35">
        <v>230.3</v>
      </c>
      <c r="L143" s="35">
        <v>220</v>
      </c>
      <c r="M143" s="35">
        <v>159</v>
      </c>
      <c r="N143" s="35"/>
      <c r="O143" s="35">
        <v>197</v>
      </c>
      <c r="P143" s="35">
        <v>239.9</v>
      </c>
      <c r="Q143" s="35">
        <v>224.1</v>
      </c>
    </row>
    <row r="144" spans="1:17" ht="19.5" thickBot="1" x14ac:dyDescent="0.35">
      <c r="A144" s="37" t="s">
        <v>184</v>
      </c>
      <c r="B144" s="35">
        <f>C144+D144+E144+G144+H144+I144+K144+L144+M144+O144+P144+Q144</f>
        <v>0</v>
      </c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35"/>
    </row>
    <row r="145" spans="1:17" ht="19.5" thickBot="1" x14ac:dyDescent="0.35">
      <c r="A145" s="39" t="s">
        <v>145</v>
      </c>
      <c r="B145" s="41">
        <f>B134+B135+B136+B137+B138+B139+B140+B143+B144</f>
        <v>182483.5</v>
      </c>
      <c r="C145" s="41">
        <f>C134+C135+C136+C137+C138+C139+C140+C143+C144</f>
        <v>8754</v>
      </c>
      <c r="D145" s="41">
        <f t="shared" ref="D145:Q145" si="48">D134+D135+D136+D137+D138+D139+D140+D143+D144</f>
        <v>11296.3</v>
      </c>
      <c r="E145" s="41">
        <f t="shared" si="48"/>
        <v>13911.9</v>
      </c>
      <c r="F145" s="41"/>
      <c r="G145" s="41">
        <f t="shared" si="48"/>
        <v>14911.900000000001</v>
      </c>
      <c r="H145" s="41">
        <f t="shared" si="48"/>
        <v>13432.6</v>
      </c>
      <c r="I145" s="41">
        <f t="shared" si="48"/>
        <v>14948.7</v>
      </c>
      <c r="J145" s="41"/>
      <c r="K145" s="41">
        <f t="shared" si="48"/>
        <v>15255.9</v>
      </c>
      <c r="L145" s="41">
        <f t="shared" si="48"/>
        <v>12685.199999999999</v>
      </c>
      <c r="M145" s="41">
        <f t="shared" si="48"/>
        <v>11006.8</v>
      </c>
      <c r="N145" s="41"/>
      <c r="O145" s="41">
        <f t="shared" si="48"/>
        <v>21742.400000000001</v>
      </c>
      <c r="P145" s="41">
        <f t="shared" si="48"/>
        <v>19943.200000000004</v>
      </c>
      <c r="Q145" s="54">
        <f t="shared" si="48"/>
        <v>24594.6</v>
      </c>
    </row>
    <row r="146" spans="1:17" ht="63.75" x14ac:dyDescent="0.3">
      <c r="A146" s="43" t="s">
        <v>188</v>
      </c>
      <c r="B146" s="35">
        <f t="shared" ref="B146:B155" si="49">C146+D146+E146+G146+H146+I146+K146+L146+M146+O146+P146+Q146</f>
        <v>278.5</v>
      </c>
      <c r="C146" s="44"/>
      <c r="D146" s="44"/>
      <c r="E146" s="44"/>
      <c r="F146" s="44"/>
      <c r="G146" s="44">
        <v>70</v>
      </c>
      <c r="H146" s="44"/>
      <c r="I146" s="44"/>
      <c r="J146" s="44"/>
      <c r="K146" s="44"/>
      <c r="L146" s="44">
        <v>208.5</v>
      </c>
      <c r="M146" s="44"/>
      <c r="N146" s="44"/>
      <c r="O146" s="44"/>
      <c r="P146" s="44"/>
      <c r="Q146" s="35"/>
    </row>
    <row r="147" spans="1:17" ht="18.75" x14ac:dyDescent="0.3">
      <c r="A147" s="45" t="s">
        <v>185</v>
      </c>
      <c r="B147" s="46">
        <f t="shared" si="49"/>
        <v>3462.7000000000003</v>
      </c>
      <c r="C147" s="46">
        <v>189.7</v>
      </c>
      <c r="D147" s="47">
        <v>211.1</v>
      </c>
      <c r="E147" s="46">
        <v>631.9</v>
      </c>
      <c r="F147" s="46"/>
      <c r="G147" s="46">
        <v>303.89999999999998</v>
      </c>
      <c r="H147" s="46">
        <v>230.4</v>
      </c>
      <c r="I147" s="46">
        <v>228.1</v>
      </c>
      <c r="J147" s="46"/>
      <c r="K147" s="46">
        <v>256.8</v>
      </c>
      <c r="L147" s="46">
        <v>213.5</v>
      </c>
      <c r="M147" s="46">
        <v>263</v>
      </c>
      <c r="N147" s="46"/>
      <c r="O147" s="35">
        <f>6.5+277.8</f>
        <v>284.3</v>
      </c>
      <c r="P147" s="35">
        <v>284.60000000000002</v>
      </c>
      <c r="Q147" s="35">
        <v>365.4</v>
      </c>
    </row>
    <row r="148" spans="1:17" ht="18.75" x14ac:dyDescent="0.3">
      <c r="A148" s="37" t="s">
        <v>107</v>
      </c>
      <c r="B148" s="35">
        <f t="shared" si="49"/>
        <v>964.80000000000007</v>
      </c>
      <c r="C148" s="35">
        <v>36.1</v>
      </c>
      <c r="D148" s="35">
        <v>185.5</v>
      </c>
      <c r="E148" s="35">
        <v>96.7</v>
      </c>
      <c r="F148" s="35"/>
      <c r="G148" s="35">
        <v>93.4</v>
      </c>
      <c r="H148" s="35">
        <v>135.80000000000001</v>
      </c>
      <c r="I148" s="35">
        <v>52.9</v>
      </c>
      <c r="J148" s="35"/>
      <c r="K148" s="35">
        <v>50.8</v>
      </c>
      <c r="L148" s="35">
        <v>42.1</v>
      </c>
      <c r="M148" s="35">
        <v>40.700000000000003</v>
      </c>
      <c r="N148" s="35"/>
      <c r="O148" s="35">
        <v>47.1</v>
      </c>
      <c r="P148" s="35">
        <v>134.6</v>
      </c>
      <c r="Q148" s="35">
        <v>49.1</v>
      </c>
    </row>
    <row r="149" spans="1:17" ht="18.75" x14ac:dyDescent="0.3">
      <c r="A149" s="37" t="s">
        <v>173</v>
      </c>
      <c r="B149" s="35">
        <f t="shared" si="49"/>
        <v>1146.9000000000001</v>
      </c>
      <c r="C149" s="35">
        <v>60.8</v>
      </c>
      <c r="D149" s="35">
        <v>61.6</v>
      </c>
      <c r="E149" s="35">
        <v>76.400000000000006</v>
      </c>
      <c r="F149" s="35"/>
      <c r="G149" s="35">
        <v>58.2</v>
      </c>
      <c r="H149" s="35">
        <v>110.4</v>
      </c>
      <c r="I149" s="35">
        <v>134</v>
      </c>
      <c r="J149" s="35"/>
      <c r="K149" s="35">
        <v>107.2</v>
      </c>
      <c r="L149" s="35">
        <v>137.1</v>
      </c>
      <c r="M149" s="35">
        <v>106.1</v>
      </c>
      <c r="N149" s="35"/>
      <c r="O149" s="35">
        <v>120.6</v>
      </c>
      <c r="P149" s="35">
        <v>80.5</v>
      </c>
      <c r="Q149" s="35">
        <v>94</v>
      </c>
    </row>
    <row r="150" spans="1:17" ht="18.75" x14ac:dyDescent="0.3">
      <c r="A150" s="37" t="s">
        <v>174</v>
      </c>
      <c r="B150" s="35">
        <f t="shared" si="49"/>
        <v>1779.3000000000002</v>
      </c>
      <c r="C150" s="35">
        <v>1001.1</v>
      </c>
      <c r="D150" s="35">
        <v>1.5</v>
      </c>
      <c r="E150" s="35">
        <v>1.4</v>
      </c>
      <c r="F150" s="35"/>
      <c r="G150" s="35">
        <v>39.9</v>
      </c>
      <c r="H150" s="35">
        <v>1.4</v>
      </c>
      <c r="I150" s="35">
        <v>64.7</v>
      </c>
      <c r="J150" s="35"/>
      <c r="K150" s="35">
        <v>3.8</v>
      </c>
      <c r="L150" s="35">
        <v>12.4</v>
      </c>
      <c r="M150" s="35">
        <v>1.3</v>
      </c>
      <c r="N150" s="35"/>
      <c r="O150" s="35">
        <v>217.8</v>
      </c>
      <c r="P150" s="35">
        <v>161.30000000000001</v>
      </c>
      <c r="Q150" s="35">
        <v>272.7</v>
      </c>
    </row>
    <row r="151" spans="1:17" ht="18.75" x14ac:dyDescent="0.3">
      <c r="A151" s="37" t="s">
        <v>175</v>
      </c>
      <c r="B151" s="35">
        <f t="shared" si="49"/>
        <v>5273.5</v>
      </c>
      <c r="C151" s="35"/>
      <c r="D151" s="35"/>
      <c r="E151" s="35">
        <v>1364.3</v>
      </c>
      <c r="F151" s="35"/>
      <c r="G151" s="35"/>
      <c r="H151" s="35">
        <v>164.8</v>
      </c>
      <c r="I151" s="35">
        <v>0.1</v>
      </c>
      <c r="J151" s="35"/>
      <c r="K151" s="35"/>
      <c r="L151" s="35">
        <v>272.8</v>
      </c>
      <c r="M151" s="35">
        <v>220.5</v>
      </c>
      <c r="N151" s="35"/>
      <c r="O151" s="35"/>
      <c r="P151" s="35"/>
      <c r="Q151" s="35">
        <v>3251</v>
      </c>
    </row>
    <row r="152" spans="1:17" ht="18.75" x14ac:dyDescent="0.3">
      <c r="A152" s="37" t="s">
        <v>108</v>
      </c>
      <c r="B152" s="35">
        <f t="shared" si="49"/>
        <v>2441.1999999999994</v>
      </c>
      <c r="C152" s="35">
        <v>147.9</v>
      </c>
      <c r="D152" s="35">
        <v>116.8</v>
      </c>
      <c r="E152" s="35">
        <v>319.3</v>
      </c>
      <c r="F152" s="35"/>
      <c r="G152" s="35">
        <v>44.6</v>
      </c>
      <c r="H152" s="35">
        <v>122</v>
      </c>
      <c r="I152" s="35">
        <v>22.1</v>
      </c>
      <c r="J152" s="35"/>
      <c r="K152" s="35">
        <v>58.2</v>
      </c>
      <c r="L152" s="35">
        <v>433.8</v>
      </c>
      <c r="M152" s="35">
        <v>1001.5</v>
      </c>
      <c r="N152" s="35"/>
      <c r="O152" s="35">
        <v>14.7</v>
      </c>
      <c r="P152" s="35">
        <v>43.1</v>
      </c>
      <c r="Q152" s="35">
        <v>117.2</v>
      </c>
    </row>
    <row r="153" spans="1:17" ht="47.25" x14ac:dyDescent="0.3">
      <c r="A153" s="33" t="s">
        <v>176</v>
      </c>
      <c r="B153" s="35">
        <f t="shared" si="49"/>
        <v>81.499999999999986</v>
      </c>
      <c r="C153" s="35"/>
      <c r="D153" s="35">
        <v>12.1</v>
      </c>
      <c r="E153" s="35">
        <v>20.5</v>
      </c>
      <c r="F153" s="35"/>
      <c r="G153" s="35">
        <v>23.9</v>
      </c>
      <c r="H153" s="35"/>
      <c r="I153" s="35">
        <v>1</v>
      </c>
      <c r="J153" s="35"/>
      <c r="K153" s="35">
        <v>5.5</v>
      </c>
      <c r="L153" s="35">
        <v>-2.7</v>
      </c>
      <c r="M153" s="35"/>
      <c r="N153" s="35"/>
      <c r="O153" s="35">
        <v>4.8</v>
      </c>
      <c r="P153" s="35">
        <v>0.1</v>
      </c>
      <c r="Q153" s="35">
        <v>16.3</v>
      </c>
    </row>
    <row r="154" spans="1:17" ht="18.75" x14ac:dyDescent="0.3">
      <c r="A154" s="37" t="s">
        <v>177</v>
      </c>
      <c r="B154" s="35">
        <f t="shared" si="49"/>
        <v>1340.4</v>
      </c>
      <c r="C154" s="35">
        <v>35.1</v>
      </c>
      <c r="D154" s="35">
        <v>83</v>
      </c>
      <c r="E154" s="35">
        <v>135.69999999999999</v>
      </c>
      <c r="F154" s="35"/>
      <c r="G154" s="35">
        <v>90.1</v>
      </c>
      <c r="H154" s="35">
        <v>168.4</v>
      </c>
      <c r="I154" s="35">
        <v>124.6</v>
      </c>
      <c r="J154" s="35"/>
      <c r="K154" s="35">
        <v>134.30000000000001</v>
      </c>
      <c r="L154" s="35">
        <v>120.4</v>
      </c>
      <c r="M154" s="35">
        <v>134.80000000000001</v>
      </c>
      <c r="N154" s="35"/>
      <c r="O154" s="35">
        <v>139.69999999999999</v>
      </c>
      <c r="P154" s="35">
        <v>-20.3</v>
      </c>
      <c r="Q154" s="35">
        <v>194.6</v>
      </c>
    </row>
    <row r="155" spans="1:17" ht="19.5" thickBot="1" x14ac:dyDescent="0.35">
      <c r="A155" s="37" t="s">
        <v>178</v>
      </c>
      <c r="B155" s="35">
        <f t="shared" si="49"/>
        <v>3014.3999999999996</v>
      </c>
      <c r="C155" s="48">
        <v>1</v>
      </c>
      <c r="D155" s="35">
        <v>1.4</v>
      </c>
      <c r="E155" s="48">
        <v>3.4</v>
      </c>
      <c r="F155" s="48"/>
      <c r="G155" s="48">
        <v>0.1</v>
      </c>
      <c r="H155" s="48">
        <v>0.1</v>
      </c>
      <c r="I155" s="48">
        <v>3.6</v>
      </c>
      <c r="J155" s="48"/>
      <c r="K155" s="48">
        <v>1000.5</v>
      </c>
      <c r="L155" s="48">
        <v>2003.9</v>
      </c>
      <c r="M155" s="48"/>
      <c r="N155" s="48"/>
      <c r="O155" s="48">
        <v>0.1</v>
      </c>
      <c r="P155" s="48">
        <v>0.1</v>
      </c>
      <c r="Q155" s="35">
        <v>0.2</v>
      </c>
    </row>
    <row r="156" spans="1:17" ht="19.5" thickBot="1" x14ac:dyDescent="0.35">
      <c r="A156" s="49" t="s">
        <v>179</v>
      </c>
      <c r="B156" s="50">
        <f t="shared" ref="B156:C156" si="50">SUM(B146:B155)</f>
        <v>19783.199999999997</v>
      </c>
      <c r="C156" s="50">
        <f t="shared" si="50"/>
        <v>1471.7</v>
      </c>
      <c r="D156" s="50">
        <f>SUM(D146:D155)</f>
        <v>673</v>
      </c>
      <c r="E156" s="50">
        <f t="shared" ref="E156:Q156" si="51">SUM(E146:E155)</f>
        <v>2649.6</v>
      </c>
      <c r="F156" s="50"/>
      <c r="G156" s="50">
        <f t="shared" si="51"/>
        <v>724.1</v>
      </c>
      <c r="H156" s="50">
        <f t="shared" si="51"/>
        <v>933.3</v>
      </c>
      <c r="I156" s="50">
        <f t="shared" si="51"/>
        <v>631.1</v>
      </c>
      <c r="J156" s="50"/>
      <c r="K156" s="50">
        <f t="shared" si="51"/>
        <v>1617.1</v>
      </c>
      <c r="L156" s="50">
        <f t="shared" si="51"/>
        <v>3441.8</v>
      </c>
      <c r="M156" s="50">
        <f t="shared" si="51"/>
        <v>1767.8999999999999</v>
      </c>
      <c r="N156" s="50"/>
      <c r="O156" s="50">
        <f t="shared" si="51"/>
        <v>829.1</v>
      </c>
      <c r="P156" s="50">
        <f t="shared" si="51"/>
        <v>684.00000000000011</v>
      </c>
      <c r="Q156" s="51">
        <f t="shared" si="51"/>
        <v>4360.5</v>
      </c>
    </row>
    <row r="157" spans="1:17" ht="19.5" thickBot="1" x14ac:dyDescent="0.35">
      <c r="A157" s="49" t="s">
        <v>180</v>
      </c>
      <c r="B157" s="50">
        <f t="shared" ref="B157:Q157" si="52">B156+B145</f>
        <v>202266.7</v>
      </c>
      <c r="C157" s="50">
        <f t="shared" si="52"/>
        <v>10225.700000000001</v>
      </c>
      <c r="D157" s="50">
        <f t="shared" si="52"/>
        <v>11969.3</v>
      </c>
      <c r="E157" s="50">
        <f t="shared" si="52"/>
        <v>16561.5</v>
      </c>
      <c r="F157" s="50"/>
      <c r="G157" s="50">
        <f t="shared" si="52"/>
        <v>15636.000000000002</v>
      </c>
      <c r="H157" s="50">
        <f t="shared" si="52"/>
        <v>14365.9</v>
      </c>
      <c r="I157" s="50">
        <f t="shared" si="52"/>
        <v>15579.800000000001</v>
      </c>
      <c r="J157" s="50"/>
      <c r="K157" s="50">
        <f t="shared" si="52"/>
        <v>16873</v>
      </c>
      <c r="L157" s="50">
        <f t="shared" si="52"/>
        <v>16127</v>
      </c>
      <c r="M157" s="50">
        <f t="shared" si="52"/>
        <v>12774.699999999999</v>
      </c>
      <c r="N157" s="50"/>
      <c r="O157" s="50">
        <f t="shared" si="52"/>
        <v>22571.5</v>
      </c>
      <c r="P157" s="50">
        <f t="shared" si="52"/>
        <v>20627.200000000004</v>
      </c>
      <c r="Q157" s="51">
        <f t="shared" si="52"/>
        <v>28955.1</v>
      </c>
    </row>
    <row r="159" spans="1:17" ht="15.75" x14ac:dyDescent="0.25">
      <c r="A159" s="55" t="s">
        <v>189</v>
      </c>
    </row>
    <row r="160" spans="1:17" ht="13.5" thickBot="1" x14ac:dyDescent="0.25"/>
    <row r="161" spans="1:17" ht="15" x14ac:dyDescent="0.2">
      <c r="A161" s="27" t="s">
        <v>148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9"/>
    </row>
    <row r="162" spans="1:17" ht="18.75" x14ac:dyDescent="0.3">
      <c r="A162" s="30"/>
      <c r="B162" s="32" t="s">
        <v>182</v>
      </c>
      <c r="C162" s="32" t="s">
        <v>150</v>
      </c>
      <c r="D162" s="32" t="s">
        <v>151</v>
      </c>
      <c r="E162" s="32" t="s">
        <v>152</v>
      </c>
      <c r="F162" s="32"/>
      <c r="G162" s="32" t="s">
        <v>153</v>
      </c>
      <c r="H162" s="32" t="s">
        <v>154</v>
      </c>
      <c r="I162" s="32" t="s">
        <v>155</v>
      </c>
      <c r="J162" s="32"/>
      <c r="K162" s="32" t="s">
        <v>156</v>
      </c>
      <c r="L162" s="32" t="s">
        <v>157</v>
      </c>
      <c r="M162" s="32" t="s">
        <v>158</v>
      </c>
      <c r="N162" s="32"/>
      <c r="O162" s="32" t="s">
        <v>159</v>
      </c>
      <c r="P162" s="32" t="s">
        <v>160</v>
      </c>
      <c r="Q162" s="56" t="s">
        <v>161</v>
      </c>
    </row>
    <row r="163" spans="1:17" ht="31.5" x14ac:dyDescent="0.3">
      <c r="A163" s="33" t="s">
        <v>183</v>
      </c>
      <c r="B163" s="35">
        <f t="shared" ref="B163:B173" si="53">C163+D163+E163+G163+H163+I163+K163+L163+M163+O163+P163+Q163</f>
        <v>119766.29999999999</v>
      </c>
      <c r="C163" s="35">
        <v>3491.9</v>
      </c>
      <c r="D163" s="35">
        <v>8850.7999999999993</v>
      </c>
      <c r="E163" s="35">
        <v>8735.4</v>
      </c>
      <c r="F163" s="35"/>
      <c r="G163" s="35">
        <v>8928.1</v>
      </c>
      <c r="H163" s="35">
        <v>11711.1</v>
      </c>
      <c r="I163" s="35">
        <v>11048.3</v>
      </c>
      <c r="J163" s="35"/>
      <c r="K163" s="35">
        <v>9522.6</v>
      </c>
      <c r="L163" s="35">
        <v>9941.1</v>
      </c>
      <c r="M163" s="35">
        <v>10085.799999999999</v>
      </c>
      <c r="N163" s="35"/>
      <c r="O163" s="35">
        <v>8455.5</v>
      </c>
      <c r="P163" s="35">
        <v>10022.9</v>
      </c>
      <c r="Q163" s="57">
        <v>18972.8</v>
      </c>
    </row>
    <row r="164" spans="1:17" ht="18.75" x14ac:dyDescent="0.3">
      <c r="A164" s="37" t="s">
        <v>101</v>
      </c>
      <c r="B164" s="35">
        <f t="shared" si="53"/>
        <v>10575</v>
      </c>
      <c r="C164" s="35">
        <v>906.5</v>
      </c>
      <c r="D164" s="35">
        <v>3.2</v>
      </c>
      <c r="E164" s="35">
        <v>1562.7</v>
      </c>
      <c r="F164" s="35"/>
      <c r="G164" s="35">
        <v>836.8</v>
      </c>
      <c r="H164" s="35">
        <v>825.1</v>
      </c>
      <c r="I164" s="35">
        <v>825.9</v>
      </c>
      <c r="J164" s="35"/>
      <c r="K164" s="35">
        <v>922.6</v>
      </c>
      <c r="L164" s="35">
        <v>994.2</v>
      </c>
      <c r="M164" s="35">
        <v>973.2</v>
      </c>
      <c r="N164" s="35"/>
      <c r="O164" s="35">
        <v>950.8</v>
      </c>
      <c r="P164" s="35">
        <v>924.3</v>
      </c>
      <c r="Q164" s="57">
        <v>849.7</v>
      </c>
    </row>
    <row r="165" spans="1:17" ht="18.75" x14ac:dyDescent="0.3">
      <c r="A165" s="37" t="s">
        <v>163</v>
      </c>
      <c r="B165" s="35">
        <f t="shared" si="53"/>
        <v>9154.5</v>
      </c>
      <c r="C165" s="35">
        <v>1964.3</v>
      </c>
      <c r="D165" s="35">
        <v>57.2</v>
      </c>
      <c r="E165" s="35">
        <v>268</v>
      </c>
      <c r="F165" s="35"/>
      <c r="G165" s="35">
        <v>1868.2</v>
      </c>
      <c r="H165" s="35">
        <v>106.2</v>
      </c>
      <c r="I165" s="35">
        <v>269.7</v>
      </c>
      <c r="J165" s="35"/>
      <c r="K165" s="35">
        <v>1847.6</v>
      </c>
      <c r="L165" s="35">
        <v>307.2</v>
      </c>
      <c r="M165" s="35">
        <v>97.9</v>
      </c>
      <c r="N165" s="35"/>
      <c r="O165" s="35">
        <v>1969.5</v>
      </c>
      <c r="P165" s="35">
        <v>287.10000000000002</v>
      </c>
      <c r="Q165" s="57">
        <v>111.6</v>
      </c>
    </row>
    <row r="166" spans="1:17" ht="47.25" x14ac:dyDescent="0.3">
      <c r="A166" s="33" t="s">
        <v>12</v>
      </c>
      <c r="B166" s="35">
        <f t="shared" si="53"/>
        <v>352.3</v>
      </c>
      <c r="C166" s="35">
        <v>0</v>
      </c>
      <c r="D166" s="35">
        <v>32.6</v>
      </c>
      <c r="E166" s="35">
        <v>31</v>
      </c>
      <c r="F166" s="35"/>
      <c r="G166" s="35">
        <v>42.6</v>
      </c>
      <c r="H166" s="35">
        <v>3.8</v>
      </c>
      <c r="I166" s="35">
        <v>0.1</v>
      </c>
      <c r="J166" s="35"/>
      <c r="K166" s="35">
        <v>224.3</v>
      </c>
      <c r="L166" s="35">
        <v>16.600000000000001</v>
      </c>
      <c r="M166" s="35">
        <v>0</v>
      </c>
      <c r="N166" s="35"/>
      <c r="O166" s="35"/>
      <c r="P166" s="35">
        <v>1.3</v>
      </c>
      <c r="Q166" s="57"/>
    </row>
    <row r="167" spans="1:17" ht="63" x14ac:dyDescent="0.3">
      <c r="A167" s="33" t="s">
        <v>187</v>
      </c>
      <c r="B167" s="35">
        <f t="shared" si="53"/>
        <v>56.2</v>
      </c>
      <c r="C167" s="35">
        <v>0</v>
      </c>
      <c r="D167" s="35">
        <v>0</v>
      </c>
      <c r="E167" s="35">
        <v>0</v>
      </c>
      <c r="F167" s="35"/>
      <c r="G167" s="35">
        <v>0</v>
      </c>
      <c r="H167" s="35">
        <v>0</v>
      </c>
      <c r="I167" s="35"/>
      <c r="J167" s="35"/>
      <c r="K167" s="35"/>
      <c r="L167" s="35">
        <v>24.6</v>
      </c>
      <c r="M167" s="35">
        <v>6.1</v>
      </c>
      <c r="N167" s="35"/>
      <c r="O167" s="35"/>
      <c r="P167" s="35"/>
      <c r="Q167" s="57">
        <v>25.5</v>
      </c>
    </row>
    <row r="168" spans="1:17" ht="18.75" x14ac:dyDescent="0.3">
      <c r="A168" s="37" t="s">
        <v>166</v>
      </c>
      <c r="B168" s="35">
        <f t="shared" si="53"/>
        <v>4152.2000000000007</v>
      </c>
      <c r="C168" s="35">
        <v>49.5</v>
      </c>
      <c r="D168" s="35">
        <v>49.2</v>
      </c>
      <c r="E168" s="35">
        <v>39.6</v>
      </c>
      <c r="F168" s="35"/>
      <c r="G168" s="35">
        <v>52.9</v>
      </c>
      <c r="H168" s="35">
        <v>39.1</v>
      </c>
      <c r="I168" s="35">
        <v>30</v>
      </c>
      <c r="J168" s="35"/>
      <c r="K168" s="35">
        <v>21.8</v>
      </c>
      <c r="L168" s="35">
        <v>31.1</v>
      </c>
      <c r="M168" s="35">
        <v>24.7</v>
      </c>
      <c r="N168" s="35"/>
      <c r="O168" s="35">
        <v>580.9</v>
      </c>
      <c r="P168" s="35">
        <v>2418.3000000000002</v>
      </c>
      <c r="Q168" s="57">
        <v>815.1</v>
      </c>
    </row>
    <row r="169" spans="1:17" ht="18.75" x14ac:dyDescent="0.3">
      <c r="A169" s="37" t="s">
        <v>167</v>
      </c>
      <c r="B169" s="35">
        <f t="shared" si="53"/>
        <v>9994</v>
      </c>
      <c r="C169" s="35">
        <f>C170+C171</f>
        <v>719.3</v>
      </c>
      <c r="D169" s="35">
        <f t="shared" ref="D169:M169" si="54">D170+D171</f>
        <v>2446.9</v>
      </c>
      <c r="E169" s="35">
        <f>E170+E171</f>
        <v>381.29999999999995</v>
      </c>
      <c r="F169" s="35"/>
      <c r="G169" s="35">
        <f t="shared" si="54"/>
        <v>1529.8</v>
      </c>
      <c r="H169" s="35">
        <f t="shared" si="54"/>
        <v>-5235.5</v>
      </c>
      <c r="I169" s="35">
        <f t="shared" si="54"/>
        <v>-7.2000000000000028</v>
      </c>
      <c r="J169" s="35"/>
      <c r="K169" s="35">
        <f t="shared" si="54"/>
        <v>-2825.3</v>
      </c>
      <c r="L169" s="35">
        <f t="shared" si="54"/>
        <v>-528.70000000000005</v>
      </c>
      <c r="M169" s="35">
        <f t="shared" si="54"/>
        <v>239.6</v>
      </c>
      <c r="N169" s="35"/>
      <c r="O169" s="35">
        <f>O170+O171</f>
        <v>3949.2</v>
      </c>
      <c r="P169" s="35">
        <f>P170+P171</f>
        <v>6872.8</v>
      </c>
      <c r="Q169" s="35">
        <f>Q170+Q171</f>
        <v>2451.8000000000002</v>
      </c>
    </row>
    <row r="170" spans="1:17" ht="18.75" x14ac:dyDescent="0.3">
      <c r="A170" s="37" t="s">
        <v>168</v>
      </c>
      <c r="B170" s="35">
        <f t="shared" si="53"/>
        <v>-3112.3999999999987</v>
      </c>
      <c r="C170" s="35">
        <v>538.6</v>
      </c>
      <c r="D170" s="35">
        <v>1674.4</v>
      </c>
      <c r="E170" s="35">
        <v>296.39999999999998</v>
      </c>
      <c r="F170" s="35"/>
      <c r="G170" s="35">
        <v>1446.2</v>
      </c>
      <c r="H170" s="35">
        <v>-5292.7</v>
      </c>
      <c r="I170" s="35">
        <v>-68.400000000000006</v>
      </c>
      <c r="J170" s="35"/>
      <c r="K170" s="35">
        <v>-2861.3</v>
      </c>
      <c r="L170" s="35">
        <v>-574.70000000000005</v>
      </c>
      <c r="M170" s="35">
        <v>127.8</v>
      </c>
      <c r="N170" s="35"/>
      <c r="O170" s="35">
        <v>1312.1</v>
      </c>
      <c r="P170" s="35">
        <v>124.8</v>
      </c>
      <c r="Q170" s="57">
        <v>164.4</v>
      </c>
    </row>
    <row r="171" spans="1:17" ht="18.75" x14ac:dyDescent="0.3">
      <c r="A171" s="37" t="s">
        <v>169</v>
      </c>
      <c r="B171" s="35">
        <f t="shared" si="53"/>
        <v>13106.4</v>
      </c>
      <c r="C171" s="35">
        <v>180.7</v>
      </c>
      <c r="D171" s="35">
        <v>772.5</v>
      </c>
      <c r="E171" s="35">
        <v>84.9</v>
      </c>
      <c r="F171" s="35"/>
      <c r="G171" s="35">
        <v>83.6</v>
      </c>
      <c r="H171" s="35">
        <v>57.2</v>
      </c>
      <c r="I171" s="35">
        <v>61.2</v>
      </c>
      <c r="J171" s="35"/>
      <c r="K171" s="35">
        <v>36</v>
      </c>
      <c r="L171" s="35">
        <v>46</v>
      </c>
      <c r="M171" s="35">
        <v>111.8</v>
      </c>
      <c r="N171" s="35"/>
      <c r="O171" s="35">
        <v>2637.1</v>
      </c>
      <c r="P171" s="35">
        <v>6748</v>
      </c>
      <c r="Q171" s="57">
        <v>2287.4</v>
      </c>
    </row>
    <row r="172" spans="1:17" ht="18.75" x14ac:dyDescent="0.3">
      <c r="A172" s="37" t="s">
        <v>105</v>
      </c>
      <c r="B172" s="35">
        <f t="shared" si="53"/>
        <v>2338.1000000000004</v>
      </c>
      <c r="C172" s="35">
        <v>56.3</v>
      </c>
      <c r="D172" s="35">
        <v>135.1</v>
      </c>
      <c r="E172" s="35">
        <v>148.30000000000001</v>
      </c>
      <c r="F172" s="35"/>
      <c r="G172" s="35">
        <v>221.1</v>
      </c>
      <c r="H172" s="35">
        <v>366</v>
      </c>
      <c r="I172" s="35">
        <v>201.6</v>
      </c>
      <c r="J172" s="35"/>
      <c r="K172" s="35">
        <v>190.5</v>
      </c>
      <c r="L172" s="35">
        <v>229.4</v>
      </c>
      <c r="M172" s="35">
        <v>175.6</v>
      </c>
      <c r="N172" s="35"/>
      <c r="O172" s="35">
        <v>229.4</v>
      </c>
      <c r="P172" s="35">
        <v>194</v>
      </c>
      <c r="Q172" s="57">
        <v>190.8</v>
      </c>
    </row>
    <row r="173" spans="1:17" ht="19.5" thickBot="1" x14ac:dyDescent="0.35">
      <c r="A173" s="37" t="s">
        <v>184</v>
      </c>
      <c r="B173" s="35">
        <f t="shared" si="53"/>
        <v>36.200000000000003</v>
      </c>
      <c r="C173" s="48">
        <v>0</v>
      </c>
      <c r="D173" s="48"/>
      <c r="E173" s="48"/>
      <c r="F173" s="48"/>
      <c r="G173" s="48">
        <v>1.1000000000000001</v>
      </c>
      <c r="H173" s="48"/>
      <c r="I173" s="48"/>
      <c r="J173" s="48"/>
      <c r="K173" s="48"/>
      <c r="L173" s="48"/>
      <c r="M173" s="48"/>
      <c r="N173" s="48"/>
      <c r="O173" s="48"/>
      <c r="P173" s="48">
        <v>30.7</v>
      </c>
      <c r="Q173" s="57">
        <v>4.4000000000000004</v>
      </c>
    </row>
    <row r="174" spans="1:17" ht="19.5" thickBot="1" x14ac:dyDescent="0.35">
      <c r="A174" s="39" t="s">
        <v>145</v>
      </c>
      <c r="B174" s="41">
        <f>B163+B164+B165+B166+B167+B168+B169+B172+B173</f>
        <v>156424.80000000002</v>
      </c>
      <c r="C174" s="41">
        <f>C163+C164+C165+C166+C167+C168+C169+C172+C173</f>
        <v>7187.8</v>
      </c>
      <c r="D174" s="41">
        <f t="shared" ref="D174:Q174" si="55">D163+D164+D165+D166+D167+D168+D169+D172+D173</f>
        <v>11575.000000000002</v>
      </c>
      <c r="E174" s="41">
        <f t="shared" si="55"/>
        <v>11166.3</v>
      </c>
      <c r="F174" s="41"/>
      <c r="G174" s="41">
        <f t="shared" si="55"/>
        <v>13480.6</v>
      </c>
      <c r="H174" s="41">
        <f t="shared" si="55"/>
        <v>7815.8000000000011</v>
      </c>
      <c r="I174" s="41">
        <f t="shared" si="55"/>
        <v>12368.4</v>
      </c>
      <c r="J174" s="41"/>
      <c r="K174" s="41">
        <f t="shared" si="55"/>
        <v>9904.0999999999985</v>
      </c>
      <c r="L174" s="41">
        <f t="shared" si="55"/>
        <v>11015.500000000002</v>
      </c>
      <c r="M174" s="41">
        <f t="shared" si="55"/>
        <v>11602.900000000001</v>
      </c>
      <c r="N174" s="41"/>
      <c r="O174" s="41">
        <f t="shared" si="55"/>
        <v>16135.299999999997</v>
      </c>
      <c r="P174" s="41">
        <f t="shared" si="55"/>
        <v>20751.399999999998</v>
      </c>
      <c r="Q174" s="58">
        <f t="shared" si="55"/>
        <v>23421.699999999997</v>
      </c>
    </row>
    <row r="175" spans="1:17" ht="63.75" x14ac:dyDescent="0.3">
      <c r="A175" s="43" t="s">
        <v>188</v>
      </c>
      <c r="B175" s="35">
        <f t="shared" ref="B175:B184" si="56">C175+D175+E175+G175+H175+I175+K175+L175+M175+O175+P175+Q175</f>
        <v>261.89999999999998</v>
      </c>
      <c r="C175" s="44">
        <v>0</v>
      </c>
      <c r="D175" s="44">
        <v>0</v>
      </c>
      <c r="E175" s="44">
        <v>65</v>
      </c>
      <c r="F175" s="44"/>
      <c r="G175" s="44"/>
      <c r="H175" s="44">
        <v>0</v>
      </c>
      <c r="I175" s="44"/>
      <c r="J175" s="44"/>
      <c r="K175" s="44"/>
      <c r="L175" s="44">
        <v>196.9</v>
      </c>
      <c r="M175" s="44">
        <v>0</v>
      </c>
      <c r="N175" s="44"/>
      <c r="O175" s="44"/>
      <c r="P175" s="44"/>
      <c r="Q175" s="57"/>
    </row>
    <row r="176" spans="1:17" ht="18.75" x14ac:dyDescent="0.3">
      <c r="A176" s="45" t="s">
        <v>185</v>
      </c>
      <c r="B176" s="46">
        <f t="shared" si="56"/>
        <v>3442.2000000000003</v>
      </c>
      <c r="C176" s="46">
        <v>237.5</v>
      </c>
      <c r="D176" s="47">
        <v>269</v>
      </c>
      <c r="E176" s="46">
        <v>259.3</v>
      </c>
      <c r="F176" s="46"/>
      <c r="G176" s="46">
        <v>239.5</v>
      </c>
      <c r="H176" s="46">
        <v>235.4</v>
      </c>
      <c r="I176" s="46">
        <v>264.2</v>
      </c>
      <c r="J176" s="46"/>
      <c r="K176" s="46">
        <v>376.8</v>
      </c>
      <c r="L176" s="46">
        <v>182.5</v>
      </c>
      <c r="M176" s="46">
        <v>307.3</v>
      </c>
      <c r="N176" s="46"/>
      <c r="O176" s="35">
        <v>329.8</v>
      </c>
      <c r="P176" s="35">
        <v>459.6</v>
      </c>
      <c r="Q176" s="57">
        <v>281.3</v>
      </c>
    </row>
    <row r="177" spans="1:17" ht="18.75" x14ac:dyDescent="0.3">
      <c r="A177" s="37" t="s">
        <v>107</v>
      </c>
      <c r="B177" s="35">
        <f t="shared" si="56"/>
        <v>779.69999999999982</v>
      </c>
      <c r="C177" s="35">
        <v>31.7</v>
      </c>
      <c r="D177" s="35">
        <v>50.9</v>
      </c>
      <c r="E177" s="35">
        <v>50.1</v>
      </c>
      <c r="F177" s="35"/>
      <c r="G177" s="35">
        <v>34.700000000000003</v>
      </c>
      <c r="H177" s="35">
        <v>25.4</v>
      </c>
      <c r="I177" s="35">
        <v>91.8</v>
      </c>
      <c r="J177" s="35"/>
      <c r="K177" s="35">
        <v>45</v>
      </c>
      <c r="L177" s="35">
        <v>28.4</v>
      </c>
      <c r="M177" s="35">
        <v>30.9</v>
      </c>
      <c r="N177" s="35"/>
      <c r="O177" s="35">
        <v>202</v>
      </c>
      <c r="P177" s="35">
        <v>82</v>
      </c>
      <c r="Q177" s="57">
        <v>106.8</v>
      </c>
    </row>
    <row r="178" spans="1:17" ht="18.75" x14ac:dyDescent="0.3">
      <c r="A178" s="37" t="s">
        <v>173</v>
      </c>
      <c r="B178" s="35">
        <f t="shared" si="56"/>
        <v>1309.7</v>
      </c>
      <c r="C178" s="35">
        <v>43.2</v>
      </c>
      <c r="D178" s="35">
        <v>69.5</v>
      </c>
      <c r="E178" s="35">
        <v>126.5</v>
      </c>
      <c r="F178" s="35"/>
      <c r="G178" s="35">
        <v>66.5</v>
      </c>
      <c r="H178" s="35">
        <v>165.5</v>
      </c>
      <c r="I178" s="35">
        <v>121.1</v>
      </c>
      <c r="J178" s="35"/>
      <c r="K178" s="35">
        <v>107</v>
      </c>
      <c r="L178" s="35">
        <v>167.9</v>
      </c>
      <c r="M178" s="35">
        <v>111.7</v>
      </c>
      <c r="N178" s="35"/>
      <c r="O178" s="35">
        <v>115.3</v>
      </c>
      <c r="P178" s="35">
        <v>125.5</v>
      </c>
      <c r="Q178" s="57">
        <v>90</v>
      </c>
    </row>
    <row r="179" spans="1:17" ht="18.75" x14ac:dyDescent="0.3">
      <c r="A179" s="37" t="s">
        <v>174</v>
      </c>
      <c r="B179" s="35">
        <f t="shared" si="56"/>
        <v>358.99999999999994</v>
      </c>
      <c r="C179" s="35">
        <v>0.1</v>
      </c>
      <c r="D179" s="35">
        <v>1.4</v>
      </c>
      <c r="E179" s="35">
        <v>26.2</v>
      </c>
      <c r="F179" s="35"/>
      <c r="G179" s="35">
        <v>15.7</v>
      </c>
      <c r="H179" s="35">
        <v>45.1</v>
      </c>
      <c r="I179" s="35">
        <v>0.9</v>
      </c>
      <c r="J179" s="35"/>
      <c r="K179" s="35">
        <v>0.3</v>
      </c>
      <c r="L179" s="35">
        <v>17.2</v>
      </c>
      <c r="M179" s="35">
        <v>31.9</v>
      </c>
      <c r="N179" s="35"/>
      <c r="O179" s="35">
        <v>145.1</v>
      </c>
      <c r="P179" s="35">
        <v>2.4</v>
      </c>
      <c r="Q179" s="57">
        <v>72.7</v>
      </c>
    </row>
    <row r="180" spans="1:17" ht="18.75" x14ac:dyDescent="0.3">
      <c r="A180" s="37" t="s">
        <v>175</v>
      </c>
      <c r="B180" s="35">
        <f t="shared" si="56"/>
        <v>5916.1</v>
      </c>
      <c r="C180" s="35">
        <v>0</v>
      </c>
      <c r="D180" s="35">
        <v>129</v>
      </c>
      <c r="E180" s="35"/>
      <c r="F180" s="35"/>
      <c r="G180" s="35">
        <v>0</v>
      </c>
      <c r="H180" s="35"/>
      <c r="I180" s="35"/>
      <c r="J180" s="35"/>
      <c r="K180" s="35"/>
      <c r="L180" s="35">
        <v>0</v>
      </c>
      <c r="M180" s="35"/>
      <c r="N180" s="35"/>
      <c r="O180" s="35">
        <v>0</v>
      </c>
      <c r="P180" s="35"/>
      <c r="Q180" s="57">
        <v>5787.1</v>
      </c>
    </row>
    <row r="181" spans="1:17" ht="18.75" x14ac:dyDescent="0.3">
      <c r="A181" s="37" t="s">
        <v>108</v>
      </c>
      <c r="B181" s="35">
        <f t="shared" si="56"/>
        <v>2519.5</v>
      </c>
      <c r="C181" s="35">
        <v>88.2</v>
      </c>
      <c r="D181" s="35">
        <v>152.6</v>
      </c>
      <c r="E181" s="35">
        <v>95.6</v>
      </c>
      <c r="F181" s="35"/>
      <c r="G181" s="35">
        <v>46.6</v>
      </c>
      <c r="H181" s="35">
        <v>156</v>
      </c>
      <c r="I181" s="35">
        <v>287</v>
      </c>
      <c r="J181" s="35"/>
      <c r="K181" s="35">
        <v>504</v>
      </c>
      <c r="L181" s="35">
        <v>9.1999999999999993</v>
      </c>
      <c r="M181" s="35"/>
      <c r="N181" s="35"/>
      <c r="O181" s="35">
        <v>194.8</v>
      </c>
      <c r="P181" s="35">
        <v>203.9</v>
      </c>
      <c r="Q181" s="57">
        <v>781.6</v>
      </c>
    </row>
    <row r="182" spans="1:17" ht="47.25" x14ac:dyDescent="0.3">
      <c r="A182" s="33" t="s">
        <v>176</v>
      </c>
      <c r="B182" s="35">
        <f t="shared" si="56"/>
        <v>152.4</v>
      </c>
      <c r="C182" s="35">
        <v>49.4</v>
      </c>
      <c r="D182" s="35">
        <v>5.5</v>
      </c>
      <c r="E182" s="35">
        <v>30.2</v>
      </c>
      <c r="F182" s="35"/>
      <c r="G182" s="35">
        <v>38.4</v>
      </c>
      <c r="H182" s="35">
        <v>5.7</v>
      </c>
      <c r="I182" s="35">
        <v>-45.7</v>
      </c>
      <c r="J182" s="35"/>
      <c r="K182" s="35">
        <v>27.2</v>
      </c>
      <c r="L182" s="35">
        <v>0.1</v>
      </c>
      <c r="M182" s="35">
        <v>-6.2</v>
      </c>
      <c r="N182" s="35"/>
      <c r="O182" s="35">
        <v>42.2</v>
      </c>
      <c r="P182" s="35">
        <v>2.2999999999999998</v>
      </c>
      <c r="Q182" s="57">
        <v>3.3</v>
      </c>
    </row>
    <row r="183" spans="1:17" ht="18.75" x14ac:dyDescent="0.3">
      <c r="A183" s="37" t="s">
        <v>177</v>
      </c>
      <c r="B183" s="35">
        <f t="shared" si="56"/>
        <v>1503.6</v>
      </c>
      <c r="C183" s="35">
        <v>56</v>
      </c>
      <c r="D183" s="35">
        <v>53</v>
      </c>
      <c r="E183" s="35">
        <v>108.3</v>
      </c>
      <c r="F183" s="35"/>
      <c r="G183" s="35">
        <v>78</v>
      </c>
      <c r="H183" s="35">
        <v>66.599999999999994</v>
      </c>
      <c r="I183" s="35">
        <v>90.9</v>
      </c>
      <c r="J183" s="35"/>
      <c r="K183" s="35">
        <v>51.4</v>
      </c>
      <c r="L183" s="35">
        <v>441.3</v>
      </c>
      <c r="M183" s="35">
        <v>81.8</v>
      </c>
      <c r="N183" s="35"/>
      <c r="O183" s="35">
        <v>-16.5</v>
      </c>
      <c r="P183" s="35">
        <v>137.9</v>
      </c>
      <c r="Q183" s="57">
        <v>354.9</v>
      </c>
    </row>
    <row r="184" spans="1:17" ht="19.5" thickBot="1" x14ac:dyDescent="0.35">
      <c r="A184" s="37" t="s">
        <v>178</v>
      </c>
      <c r="B184" s="35">
        <f t="shared" si="56"/>
        <v>3.1</v>
      </c>
      <c r="C184" s="48">
        <v>0.2</v>
      </c>
      <c r="D184" s="35">
        <v>0.3</v>
      </c>
      <c r="E184" s="48">
        <v>0</v>
      </c>
      <c r="F184" s="48"/>
      <c r="G184" s="48">
        <v>1</v>
      </c>
      <c r="H184" s="48"/>
      <c r="I184" s="48">
        <v>0.1</v>
      </c>
      <c r="J184" s="48"/>
      <c r="K184" s="48"/>
      <c r="L184" s="48">
        <v>0</v>
      </c>
      <c r="M184" s="48"/>
      <c r="N184" s="48"/>
      <c r="O184" s="48">
        <v>0.2</v>
      </c>
      <c r="P184" s="48">
        <v>-0.9</v>
      </c>
      <c r="Q184" s="57">
        <v>2.2000000000000002</v>
      </c>
    </row>
    <row r="185" spans="1:17" ht="19.5" thickBot="1" x14ac:dyDescent="0.35">
      <c r="A185" s="49" t="s">
        <v>179</v>
      </c>
      <c r="B185" s="50">
        <f t="shared" ref="B185:C185" si="57">SUM(B175:B184)</f>
        <v>16247.2</v>
      </c>
      <c r="C185" s="50">
        <f t="shared" si="57"/>
        <v>506.29999999999995</v>
      </c>
      <c r="D185" s="50">
        <f>SUM(D175:D184)</f>
        <v>731.19999999999993</v>
      </c>
      <c r="E185" s="50">
        <f t="shared" ref="E185:Q185" si="58">SUM(E175:E184)</f>
        <v>761.2</v>
      </c>
      <c r="F185" s="50"/>
      <c r="G185" s="50">
        <f t="shared" si="58"/>
        <v>520.4</v>
      </c>
      <c r="H185" s="50">
        <f t="shared" si="58"/>
        <v>699.70000000000016</v>
      </c>
      <c r="I185" s="50">
        <f t="shared" si="58"/>
        <v>810.3</v>
      </c>
      <c r="J185" s="50"/>
      <c r="K185" s="50">
        <f t="shared" si="58"/>
        <v>1111.7</v>
      </c>
      <c r="L185" s="50">
        <f t="shared" si="58"/>
        <v>1043.5</v>
      </c>
      <c r="M185" s="50">
        <f t="shared" si="58"/>
        <v>557.4</v>
      </c>
      <c r="N185" s="50"/>
      <c r="O185" s="50">
        <f t="shared" si="58"/>
        <v>1012.9000000000001</v>
      </c>
      <c r="P185" s="50">
        <f t="shared" si="58"/>
        <v>1012.6999999999999</v>
      </c>
      <c r="Q185" s="59">
        <f t="shared" si="58"/>
        <v>7479.9000000000005</v>
      </c>
    </row>
    <row r="186" spans="1:17" ht="19.5" thickBot="1" x14ac:dyDescent="0.35">
      <c r="A186" s="49" t="s">
        <v>180</v>
      </c>
      <c r="B186" s="50">
        <f t="shared" ref="B186:Q186" si="59">B185+B174</f>
        <v>172672.00000000003</v>
      </c>
      <c r="C186" s="50">
        <f t="shared" si="59"/>
        <v>7694.1</v>
      </c>
      <c r="D186" s="50">
        <f t="shared" si="59"/>
        <v>12306.200000000003</v>
      </c>
      <c r="E186" s="50">
        <f t="shared" si="59"/>
        <v>11927.5</v>
      </c>
      <c r="F186" s="50"/>
      <c r="G186" s="50">
        <f t="shared" si="59"/>
        <v>14001</v>
      </c>
      <c r="H186" s="50">
        <f t="shared" si="59"/>
        <v>8515.5000000000018</v>
      </c>
      <c r="I186" s="50">
        <f t="shared" si="59"/>
        <v>13178.699999999999</v>
      </c>
      <c r="J186" s="50"/>
      <c r="K186" s="50">
        <f t="shared" si="59"/>
        <v>11015.8</v>
      </c>
      <c r="L186" s="50">
        <f t="shared" si="59"/>
        <v>12059.000000000002</v>
      </c>
      <c r="M186" s="50">
        <f t="shared" si="59"/>
        <v>12160.300000000001</v>
      </c>
      <c r="N186" s="50"/>
      <c r="O186" s="50">
        <f t="shared" si="59"/>
        <v>17148.199999999997</v>
      </c>
      <c r="P186" s="50">
        <f t="shared" si="59"/>
        <v>21764.1</v>
      </c>
      <c r="Q186" s="59">
        <f t="shared" si="59"/>
        <v>30901.599999999999</v>
      </c>
    </row>
    <row r="187" spans="1:17" ht="18.75" x14ac:dyDescent="0.3">
      <c r="A187" s="60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</row>
    <row r="188" spans="1:17" ht="15.75" x14ac:dyDescent="0.25">
      <c r="A188" s="55" t="s">
        <v>190</v>
      </c>
    </row>
    <row r="189" spans="1:17" ht="13.5" thickBot="1" x14ac:dyDescent="0.25"/>
    <row r="190" spans="1:17" ht="15" x14ac:dyDescent="0.2">
      <c r="A190" s="27" t="s">
        <v>148</v>
      </c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9"/>
    </row>
    <row r="191" spans="1:17" ht="18.75" x14ac:dyDescent="0.3">
      <c r="A191" s="30"/>
      <c r="B191" s="32" t="s">
        <v>182</v>
      </c>
      <c r="C191" s="32" t="s">
        <v>150</v>
      </c>
      <c r="D191" s="32" t="s">
        <v>151</v>
      </c>
      <c r="E191" s="32" t="s">
        <v>152</v>
      </c>
      <c r="F191" s="32"/>
      <c r="G191" s="32" t="s">
        <v>153</v>
      </c>
      <c r="H191" s="32" t="s">
        <v>154</v>
      </c>
      <c r="I191" s="32" t="s">
        <v>155</v>
      </c>
      <c r="J191" s="32"/>
      <c r="K191" s="32" t="s">
        <v>156</v>
      </c>
      <c r="L191" s="32" t="s">
        <v>157</v>
      </c>
      <c r="M191" s="32" t="s">
        <v>158</v>
      </c>
      <c r="N191" s="32"/>
      <c r="O191" s="32" t="s">
        <v>159</v>
      </c>
      <c r="P191" s="32" t="s">
        <v>160</v>
      </c>
      <c r="Q191" s="32" t="s">
        <v>161</v>
      </c>
    </row>
    <row r="192" spans="1:17" ht="31.5" x14ac:dyDescent="0.3">
      <c r="A192" s="33" t="s">
        <v>183</v>
      </c>
      <c r="B192" s="35">
        <f t="shared" ref="B192:B200" si="60">SUM(C192:Q192)</f>
        <v>109790.8</v>
      </c>
      <c r="C192" s="35">
        <v>2854.7</v>
      </c>
      <c r="D192" s="35">
        <v>8718.2999999999993</v>
      </c>
      <c r="E192" s="35">
        <v>8355.7999999999993</v>
      </c>
      <c r="F192" s="35"/>
      <c r="G192" s="35">
        <v>9078.6</v>
      </c>
      <c r="H192" s="35">
        <v>10141.9</v>
      </c>
      <c r="I192" s="35">
        <v>10069.9</v>
      </c>
      <c r="J192" s="35"/>
      <c r="K192" s="35">
        <v>8989.6</v>
      </c>
      <c r="L192" s="35">
        <v>8249.7000000000007</v>
      </c>
      <c r="M192" s="35">
        <f>7867.5+289.4</f>
        <v>8156.9</v>
      </c>
      <c r="N192" s="35"/>
      <c r="O192" s="35">
        <v>9345.6</v>
      </c>
      <c r="P192" s="35">
        <v>8562.5</v>
      </c>
      <c r="Q192" s="35">
        <v>17267.3</v>
      </c>
    </row>
    <row r="193" spans="1:17" ht="18.75" x14ac:dyDescent="0.3">
      <c r="A193" s="37" t="s">
        <v>101</v>
      </c>
      <c r="B193" s="35">
        <f t="shared" si="60"/>
        <v>13331</v>
      </c>
      <c r="C193" s="35">
        <v>795.1</v>
      </c>
      <c r="D193" s="35">
        <v>2.6</v>
      </c>
      <c r="E193" s="35">
        <v>1792.4</v>
      </c>
      <c r="F193" s="35"/>
      <c r="G193" s="35">
        <v>1055.0999999999999</v>
      </c>
      <c r="H193" s="35">
        <f>0.7+1239.6</f>
        <v>1240.3</v>
      </c>
      <c r="I193" s="35">
        <v>1115.7</v>
      </c>
      <c r="J193" s="35"/>
      <c r="K193" s="35">
        <v>1185</v>
      </c>
      <c r="L193" s="35">
        <v>1270.5999999999999</v>
      </c>
      <c r="M193" s="35">
        <f>1316.4+21.1</f>
        <v>1337.5</v>
      </c>
      <c r="N193" s="35"/>
      <c r="O193" s="35">
        <v>1182.7</v>
      </c>
      <c r="P193" s="35">
        <v>1089</v>
      </c>
      <c r="Q193" s="35">
        <f>145.7+1115.4+1+2.9</f>
        <v>1265.0000000000002</v>
      </c>
    </row>
    <row r="194" spans="1:17" ht="18.75" x14ac:dyDescent="0.3">
      <c r="A194" s="37" t="s">
        <v>163</v>
      </c>
      <c r="B194" s="35">
        <f t="shared" si="60"/>
        <v>10012.500000000002</v>
      </c>
      <c r="C194" s="35">
        <v>2235.1</v>
      </c>
      <c r="D194" s="35">
        <v>311.5</v>
      </c>
      <c r="E194" s="35">
        <v>114.3</v>
      </c>
      <c r="F194" s="35"/>
      <c r="G194" s="35">
        <v>2305.8000000000002</v>
      </c>
      <c r="H194" s="35">
        <v>114.6</v>
      </c>
      <c r="I194" s="35">
        <v>98.2</v>
      </c>
      <c r="J194" s="35"/>
      <c r="K194" s="35">
        <v>1965.5</v>
      </c>
      <c r="L194" s="35">
        <v>403</v>
      </c>
      <c r="M194" s="35">
        <v>121.8</v>
      </c>
      <c r="N194" s="35"/>
      <c r="O194" s="35">
        <f>1981-0.1</f>
        <v>1980.9</v>
      </c>
      <c r="P194" s="35">
        <v>100.7</v>
      </c>
      <c r="Q194" s="35">
        <f>258.5+2.6</f>
        <v>261.10000000000002</v>
      </c>
    </row>
    <row r="195" spans="1:17" ht="47.25" x14ac:dyDescent="0.3">
      <c r="A195" s="33" t="s">
        <v>12</v>
      </c>
      <c r="B195" s="35">
        <f t="shared" si="60"/>
        <v>48.699999999999996</v>
      </c>
      <c r="C195" s="35">
        <v>0</v>
      </c>
      <c r="D195" s="35">
        <v>14.2</v>
      </c>
      <c r="E195" s="35">
        <v>2.2000000000000002</v>
      </c>
      <c r="F195" s="35"/>
      <c r="G195" s="35">
        <v>23</v>
      </c>
      <c r="H195" s="35">
        <v>3.3</v>
      </c>
      <c r="I195" s="35">
        <v>0</v>
      </c>
      <c r="J195" s="35"/>
      <c r="K195" s="35"/>
      <c r="L195" s="35"/>
      <c r="M195" s="35">
        <v>3</v>
      </c>
      <c r="N195" s="35"/>
      <c r="O195" s="35">
        <v>3</v>
      </c>
      <c r="P195" s="35"/>
      <c r="Q195" s="35">
        <v>0</v>
      </c>
    </row>
    <row r="196" spans="1:17" ht="63" x14ac:dyDescent="0.3">
      <c r="A196" s="33" t="s">
        <v>187</v>
      </c>
      <c r="B196" s="35">
        <f t="shared" si="60"/>
        <v>39.9</v>
      </c>
      <c r="C196" s="35">
        <v>0</v>
      </c>
      <c r="D196" s="35">
        <v>7.3</v>
      </c>
      <c r="E196" s="35">
        <v>14.6</v>
      </c>
      <c r="F196" s="35"/>
      <c r="G196" s="35"/>
      <c r="H196" s="35"/>
      <c r="I196" s="35"/>
      <c r="J196" s="35"/>
      <c r="K196" s="35"/>
      <c r="L196" s="35">
        <v>6</v>
      </c>
      <c r="M196" s="35"/>
      <c r="N196" s="35"/>
      <c r="O196" s="35"/>
      <c r="P196" s="35"/>
      <c r="Q196" s="35">
        <v>12</v>
      </c>
    </row>
    <row r="197" spans="1:17" ht="18.75" x14ac:dyDescent="0.3">
      <c r="A197" s="37" t="s">
        <v>166</v>
      </c>
      <c r="B197" s="35">
        <f t="shared" si="60"/>
        <v>1330.5</v>
      </c>
      <c r="C197" s="35">
        <v>34.6</v>
      </c>
      <c r="D197" s="35">
        <v>30.9</v>
      </c>
      <c r="E197" s="35">
        <v>14.5</v>
      </c>
      <c r="F197" s="35"/>
      <c r="G197" s="35">
        <v>1.5</v>
      </c>
      <c r="H197" s="35">
        <v>6.1</v>
      </c>
      <c r="I197" s="35">
        <v>33.200000000000003</v>
      </c>
      <c r="J197" s="35"/>
      <c r="K197" s="35">
        <v>20.5</v>
      </c>
      <c r="L197" s="35">
        <v>19.8</v>
      </c>
      <c r="M197" s="35">
        <f>0.4+12.1</f>
        <v>12.5</v>
      </c>
      <c r="N197" s="35"/>
      <c r="O197" s="35">
        <v>256.3</v>
      </c>
      <c r="P197" s="35">
        <v>677.1</v>
      </c>
      <c r="Q197" s="35">
        <v>223.5</v>
      </c>
    </row>
    <row r="198" spans="1:17" ht="18.75" x14ac:dyDescent="0.3">
      <c r="A198" s="37" t="s">
        <v>191</v>
      </c>
      <c r="B198" s="35">
        <f t="shared" si="60"/>
        <v>17928.699999999997</v>
      </c>
      <c r="C198" s="35">
        <v>316.3</v>
      </c>
      <c r="D198" s="35">
        <v>1610.1</v>
      </c>
      <c r="E198" s="35">
        <v>856.6</v>
      </c>
      <c r="F198" s="35"/>
      <c r="G198" s="35">
        <v>1299.0999999999999</v>
      </c>
      <c r="H198" s="35">
        <v>3526.4</v>
      </c>
      <c r="I198" s="35">
        <v>308.2</v>
      </c>
      <c r="J198" s="35"/>
      <c r="K198" s="35">
        <v>307.2</v>
      </c>
      <c r="L198" s="35">
        <v>3883.6</v>
      </c>
      <c r="M198" s="35">
        <f>37.8+246.1</f>
        <v>283.89999999999998</v>
      </c>
      <c r="N198" s="35"/>
      <c r="O198" s="35">
        <v>1683.2</v>
      </c>
      <c r="P198" s="35">
        <v>3191.5</v>
      </c>
      <c r="Q198" s="35">
        <v>662.6</v>
      </c>
    </row>
    <row r="199" spans="1:17" ht="18.75" x14ac:dyDescent="0.3">
      <c r="A199" s="37" t="s">
        <v>105</v>
      </c>
      <c r="B199" s="35">
        <f t="shared" si="60"/>
        <v>1508.2000000000003</v>
      </c>
      <c r="C199" s="35">
        <v>63.1</v>
      </c>
      <c r="D199" s="35">
        <v>137</v>
      </c>
      <c r="E199" s="35">
        <v>185.5</v>
      </c>
      <c r="F199" s="35"/>
      <c r="G199" s="35">
        <v>113.2</v>
      </c>
      <c r="H199" s="35">
        <v>55.4</v>
      </c>
      <c r="I199" s="35">
        <v>83.7</v>
      </c>
      <c r="J199" s="35"/>
      <c r="K199" s="35">
        <v>117.8</v>
      </c>
      <c r="L199" s="35">
        <v>173.5</v>
      </c>
      <c r="M199" s="35">
        <f>19+136.2</f>
        <v>155.19999999999999</v>
      </c>
      <c r="N199" s="35"/>
      <c r="O199" s="35">
        <v>112.4</v>
      </c>
      <c r="P199" s="35">
        <v>94</v>
      </c>
      <c r="Q199" s="35">
        <v>217.4</v>
      </c>
    </row>
    <row r="200" spans="1:17" ht="19.5" thickBot="1" x14ac:dyDescent="0.35">
      <c r="A200" s="37" t="s">
        <v>184</v>
      </c>
      <c r="B200" s="35">
        <f t="shared" si="60"/>
        <v>68.5</v>
      </c>
      <c r="C200" s="48">
        <v>25.9</v>
      </c>
      <c r="D200" s="48">
        <v>0</v>
      </c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>
        <v>38.1</v>
      </c>
      <c r="Q200" s="35">
        <v>4.5</v>
      </c>
    </row>
    <row r="201" spans="1:17" ht="19.5" thickBot="1" x14ac:dyDescent="0.35">
      <c r="A201" s="39" t="s">
        <v>145</v>
      </c>
      <c r="B201" s="41">
        <f t="shared" ref="B201:C201" si="61">SUM(B192:B200)</f>
        <v>154058.80000000005</v>
      </c>
      <c r="C201" s="41">
        <f t="shared" si="61"/>
        <v>6324.8</v>
      </c>
      <c r="D201" s="41">
        <f t="shared" ref="D201:P201" si="62">SUM(D192:D200)</f>
        <v>10831.9</v>
      </c>
      <c r="E201" s="41">
        <f t="shared" si="62"/>
        <v>11335.9</v>
      </c>
      <c r="F201" s="41"/>
      <c r="G201" s="41">
        <f t="shared" si="62"/>
        <v>13876.300000000001</v>
      </c>
      <c r="H201" s="41">
        <f t="shared" si="62"/>
        <v>15087.999999999998</v>
      </c>
      <c r="I201" s="41">
        <f t="shared" si="62"/>
        <v>11708.900000000003</v>
      </c>
      <c r="J201" s="41"/>
      <c r="K201" s="41">
        <f t="shared" si="62"/>
        <v>12585.6</v>
      </c>
      <c r="L201" s="41">
        <f t="shared" si="62"/>
        <v>14006.2</v>
      </c>
      <c r="M201" s="41">
        <f t="shared" si="62"/>
        <v>10070.799999999999</v>
      </c>
      <c r="N201" s="41"/>
      <c r="O201" s="41">
        <f t="shared" si="62"/>
        <v>14564.1</v>
      </c>
      <c r="P201" s="41">
        <f t="shared" si="62"/>
        <v>13752.900000000001</v>
      </c>
      <c r="Q201" s="62">
        <f>Q200+Q199+Q198+Q197+Q196+Q195+Q194+Q193+Q192</f>
        <v>19913.400000000001</v>
      </c>
    </row>
    <row r="202" spans="1:17" ht="63.75" x14ac:dyDescent="0.3">
      <c r="A202" s="43" t="s">
        <v>188</v>
      </c>
      <c r="B202" s="35">
        <f t="shared" ref="B202:B211" si="63">SUM(C202:Q202)</f>
        <v>214.2</v>
      </c>
      <c r="C202" s="44">
        <v>0</v>
      </c>
      <c r="D202" s="44"/>
      <c r="E202" s="44">
        <v>60</v>
      </c>
      <c r="F202" s="44"/>
      <c r="G202" s="44"/>
      <c r="H202" s="44"/>
      <c r="I202" s="44"/>
      <c r="J202" s="44"/>
      <c r="K202" s="44"/>
      <c r="L202" s="44">
        <v>154.19999999999999</v>
      </c>
      <c r="M202" s="44"/>
      <c r="N202" s="44"/>
      <c r="O202" s="44"/>
      <c r="P202" s="44"/>
      <c r="Q202" s="35"/>
    </row>
    <row r="203" spans="1:17" ht="18.75" x14ac:dyDescent="0.3">
      <c r="A203" s="37" t="s">
        <v>185</v>
      </c>
      <c r="B203" s="35">
        <f t="shared" si="63"/>
        <v>3631.7999999999997</v>
      </c>
      <c r="C203" s="35">
        <v>210.7</v>
      </c>
      <c r="D203" s="35">
        <v>299.89999999999998</v>
      </c>
      <c r="E203" s="35">
        <v>324.10000000000002</v>
      </c>
      <c r="F203" s="35"/>
      <c r="G203" s="35">
        <v>284</v>
      </c>
      <c r="H203" s="35">
        <v>361.6</v>
      </c>
      <c r="I203" s="35">
        <v>258.2</v>
      </c>
      <c r="J203" s="35"/>
      <c r="K203" s="35">
        <v>388.6</v>
      </c>
      <c r="L203" s="35">
        <v>266.10000000000002</v>
      </c>
      <c r="M203" s="35">
        <f>25.8+318.9</f>
        <v>344.7</v>
      </c>
      <c r="N203" s="35"/>
      <c r="O203" s="35">
        <v>217.5</v>
      </c>
      <c r="P203" s="35">
        <v>318.2</v>
      </c>
      <c r="Q203" s="35">
        <v>358.2</v>
      </c>
    </row>
    <row r="204" spans="1:17" ht="18.75" x14ac:dyDescent="0.3">
      <c r="A204" s="37" t="s">
        <v>107</v>
      </c>
      <c r="B204" s="35">
        <f t="shared" si="63"/>
        <v>825.2</v>
      </c>
      <c r="C204" s="35">
        <v>46.6</v>
      </c>
      <c r="D204" s="35">
        <v>40.6</v>
      </c>
      <c r="E204" s="35">
        <v>74.5</v>
      </c>
      <c r="F204" s="35"/>
      <c r="G204" s="35">
        <v>40.5</v>
      </c>
      <c r="H204" s="35">
        <v>54.9</v>
      </c>
      <c r="I204" s="35">
        <v>87</v>
      </c>
      <c r="J204" s="35"/>
      <c r="K204" s="35">
        <v>39.299999999999997</v>
      </c>
      <c r="L204" s="35">
        <v>99.9</v>
      </c>
      <c r="M204" s="35">
        <v>46.6</v>
      </c>
      <c r="N204" s="35"/>
      <c r="O204" s="35">
        <f>17.3+24.4</f>
        <v>41.7</v>
      </c>
      <c r="P204" s="35">
        <v>48.9</v>
      </c>
      <c r="Q204" s="35">
        <v>204.7</v>
      </c>
    </row>
    <row r="205" spans="1:17" ht="18.75" x14ac:dyDescent="0.3">
      <c r="A205" s="37" t="s">
        <v>173</v>
      </c>
      <c r="B205" s="35">
        <f t="shared" si="63"/>
        <v>1077.8</v>
      </c>
      <c r="C205" s="35">
        <v>42.5</v>
      </c>
      <c r="D205" s="35">
        <v>61</v>
      </c>
      <c r="E205" s="35">
        <v>83.5</v>
      </c>
      <c r="F205" s="35"/>
      <c r="G205" s="35">
        <v>52.4</v>
      </c>
      <c r="H205" s="35">
        <v>99</v>
      </c>
      <c r="I205" s="35">
        <v>69.7</v>
      </c>
      <c r="J205" s="35"/>
      <c r="K205" s="35">
        <v>141</v>
      </c>
      <c r="L205" s="35">
        <v>131.5</v>
      </c>
      <c r="M205" s="35">
        <v>92.6</v>
      </c>
      <c r="N205" s="35"/>
      <c r="O205" s="35">
        <v>97.7</v>
      </c>
      <c r="P205" s="35">
        <v>119.8</v>
      </c>
      <c r="Q205" s="35">
        <v>87.1</v>
      </c>
    </row>
    <row r="206" spans="1:17" ht="18.75" x14ac:dyDescent="0.3">
      <c r="A206" s="37" t="s">
        <v>174</v>
      </c>
      <c r="B206" s="35">
        <f t="shared" si="63"/>
        <v>3.5</v>
      </c>
      <c r="C206" s="35"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>
        <v>2.9</v>
      </c>
      <c r="N206" s="35"/>
      <c r="O206" s="35">
        <v>0.6</v>
      </c>
      <c r="P206" s="35"/>
      <c r="Q206" s="35"/>
    </row>
    <row r="207" spans="1:17" ht="18.75" x14ac:dyDescent="0.3">
      <c r="A207" s="37" t="s">
        <v>175</v>
      </c>
      <c r="B207" s="35">
        <f t="shared" si="63"/>
        <v>3689.2999999999997</v>
      </c>
      <c r="C207" s="35">
        <v>1820.5</v>
      </c>
      <c r="D207" s="35"/>
      <c r="E207" s="35">
        <v>1469.2</v>
      </c>
      <c r="F207" s="35"/>
      <c r="G207" s="35"/>
      <c r="H207" s="35">
        <v>83</v>
      </c>
      <c r="I207" s="35">
        <v>239.6</v>
      </c>
      <c r="J207" s="35"/>
      <c r="K207" s="35"/>
      <c r="L207" s="35"/>
      <c r="M207" s="35">
        <v>77</v>
      </c>
      <c r="N207" s="35"/>
      <c r="O207" s="35"/>
      <c r="P207" s="35"/>
      <c r="Q207" s="35"/>
    </row>
    <row r="208" spans="1:17" ht="18.75" x14ac:dyDescent="0.3">
      <c r="A208" s="37" t="s">
        <v>108</v>
      </c>
      <c r="B208" s="35">
        <f t="shared" si="63"/>
        <v>2494.1000000000004</v>
      </c>
      <c r="C208" s="35">
        <v>0</v>
      </c>
      <c r="D208" s="35"/>
      <c r="E208" s="35">
        <v>631.1</v>
      </c>
      <c r="F208" s="35"/>
      <c r="G208" s="35">
        <v>50.1</v>
      </c>
      <c r="H208" s="35">
        <v>105</v>
      </c>
      <c r="I208" s="35">
        <v>138.9</v>
      </c>
      <c r="J208" s="35"/>
      <c r="K208" s="35">
        <v>411.2</v>
      </c>
      <c r="L208" s="35">
        <v>154.4</v>
      </c>
      <c r="M208" s="35">
        <v>130.19999999999999</v>
      </c>
      <c r="N208" s="35"/>
      <c r="O208" s="35">
        <v>16.899999999999999</v>
      </c>
      <c r="P208" s="35">
        <v>132.1</v>
      </c>
      <c r="Q208" s="35">
        <f>30.6+693.6</f>
        <v>724.2</v>
      </c>
    </row>
    <row r="209" spans="1:17" ht="47.25" x14ac:dyDescent="0.3">
      <c r="A209" s="33" t="s">
        <v>176</v>
      </c>
      <c r="B209" s="35">
        <f t="shared" si="63"/>
        <v>770</v>
      </c>
      <c r="C209" s="35">
        <v>192.5</v>
      </c>
      <c r="D209" s="35">
        <v>3</v>
      </c>
      <c r="E209" s="35">
        <v>3.6</v>
      </c>
      <c r="F209" s="35"/>
      <c r="G209" s="35">
        <v>175.2</v>
      </c>
      <c r="H209" s="35"/>
      <c r="I209" s="35">
        <v>1.7</v>
      </c>
      <c r="J209" s="35"/>
      <c r="K209" s="35">
        <v>164</v>
      </c>
      <c r="L209" s="35">
        <v>7.5</v>
      </c>
      <c r="M209" s="35">
        <v>13.6</v>
      </c>
      <c r="N209" s="35"/>
      <c r="O209" s="35">
        <v>163.69999999999999</v>
      </c>
      <c r="P209" s="35"/>
      <c r="Q209" s="35">
        <v>45.2</v>
      </c>
    </row>
    <row r="210" spans="1:17" ht="18.75" x14ac:dyDescent="0.3">
      <c r="A210" s="37" t="s">
        <v>177</v>
      </c>
      <c r="B210" s="35">
        <f t="shared" si="63"/>
        <v>1298.8</v>
      </c>
      <c r="C210" s="35">
        <v>46.4</v>
      </c>
      <c r="D210" s="35">
        <v>77.2</v>
      </c>
      <c r="E210" s="35">
        <v>83.1</v>
      </c>
      <c r="F210" s="35"/>
      <c r="G210" s="35">
        <v>33.200000000000003</v>
      </c>
      <c r="H210" s="35">
        <v>132.4</v>
      </c>
      <c r="I210" s="35">
        <v>60.6</v>
      </c>
      <c r="J210" s="35"/>
      <c r="K210" s="35">
        <v>80.5</v>
      </c>
      <c r="L210" s="35">
        <v>169.2</v>
      </c>
      <c r="M210" s="35">
        <f>1.6+304.6</f>
        <v>306.20000000000005</v>
      </c>
      <c r="N210" s="35"/>
      <c r="O210" s="35">
        <v>84.2</v>
      </c>
      <c r="P210" s="35">
        <v>72.3</v>
      </c>
      <c r="Q210" s="35">
        <v>153.5</v>
      </c>
    </row>
    <row r="211" spans="1:17" ht="19.5" thickBot="1" x14ac:dyDescent="0.35">
      <c r="A211" s="37" t="s">
        <v>192</v>
      </c>
      <c r="B211" s="35">
        <f t="shared" si="63"/>
        <v>0</v>
      </c>
      <c r="C211" s="48">
        <v>5.6</v>
      </c>
      <c r="D211" s="48">
        <v>12.8</v>
      </c>
      <c r="E211" s="48">
        <v>-18.399999999999999</v>
      </c>
      <c r="F211" s="48"/>
      <c r="G211" s="48">
        <v>8.1</v>
      </c>
      <c r="H211" s="48">
        <v>-8.1</v>
      </c>
      <c r="I211" s="48"/>
      <c r="J211" s="48"/>
      <c r="K211" s="48"/>
      <c r="L211" s="48"/>
      <c r="M211" s="48"/>
      <c r="N211" s="48"/>
      <c r="O211" s="48">
        <v>0</v>
      </c>
      <c r="P211" s="48"/>
      <c r="Q211" s="35"/>
    </row>
    <row r="212" spans="1:17" ht="19.5" thickBot="1" x14ac:dyDescent="0.35">
      <c r="A212" s="49" t="s">
        <v>179</v>
      </c>
      <c r="B212" s="50">
        <f t="shared" ref="B212:C212" si="64">SUM(B202:B211)</f>
        <v>14004.699999999999</v>
      </c>
      <c r="C212" s="50">
        <f t="shared" si="64"/>
        <v>2364.8000000000002</v>
      </c>
      <c r="D212" s="50">
        <f t="shared" ref="D212:Q212" si="65">SUM(D202:D211)</f>
        <v>494.5</v>
      </c>
      <c r="E212" s="50">
        <f t="shared" si="65"/>
        <v>2710.7</v>
      </c>
      <c r="F212" s="50"/>
      <c r="G212" s="50">
        <f t="shared" si="65"/>
        <v>643.50000000000011</v>
      </c>
      <c r="H212" s="50">
        <f t="shared" si="65"/>
        <v>827.8</v>
      </c>
      <c r="I212" s="50">
        <f t="shared" si="65"/>
        <v>855.7</v>
      </c>
      <c r="J212" s="50"/>
      <c r="K212" s="50">
        <f t="shared" si="65"/>
        <v>1224.6000000000001</v>
      </c>
      <c r="L212" s="50">
        <f t="shared" si="65"/>
        <v>982.8</v>
      </c>
      <c r="M212" s="50">
        <f t="shared" si="65"/>
        <v>1013.8000000000001</v>
      </c>
      <c r="N212" s="50"/>
      <c r="O212" s="50">
        <f t="shared" si="65"/>
        <v>622.29999999999995</v>
      </c>
      <c r="P212" s="50">
        <f t="shared" si="65"/>
        <v>691.3</v>
      </c>
      <c r="Q212" s="51">
        <f t="shared" si="65"/>
        <v>1572.9</v>
      </c>
    </row>
    <row r="213" spans="1:17" ht="19.5" thickBot="1" x14ac:dyDescent="0.35">
      <c r="A213" s="49" t="s">
        <v>180</v>
      </c>
      <c r="B213" s="50">
        <f t="shared" ref="B213:Q213" si="66">B212+B201</f>
        <v>168063.50000000006</v>
      </c>
      <c r="C213" s="50">
        <f t="shared" si="66"/>
        <v>8689.6</v>
      </c>
      <c r="D213" s="50">
        <f t="shared" si="66"/>
        <v>11326.4</v>
      </c>
      <c r="E213" s="50">
        <f t="shared" si="66"/>
        <v>14046.599999999999</v>
      </c>
      <c r="F213" s="50"/>
      <c r="G213" s="50">
        <f t="shared" si="66"/>
        <v>14519.800000000001</v>
      </c>
      <c r="H213" s="50">
        <f t="shared" si="66"/>
        <v>15915.799999999997</v>
      </c>
      <c r="I213" s="50">
        <f t="shared" si="66"/>
        <v>12564.600000000004</v>
      </c>
      <c r="J213" s="50"/>
      <c r="K213" s="50">
        <f t="shared" si="66"/>
        <v>13810.2</v>
      </c>
      <c r="L213" s="50">
        <f t="shared" si="66"/>
        <v>14989</v>
      </c>
      <c r="M213" s="50">
        <f t="shared" si="66"/>
        <v>11084.599999999999</v>
      </c>
      <c r="N213" s="50"/>
      <c r="O213" s="50">
        <f t="shared" si="66"/>
        <v>15186.4</v>
      </c>
      <c r="P213" s="50">
        <f t="shared" si="66"/>
        <v>14444.2</v>
      </c>
      <c r="Q213" s="51">
        <f t="shared" si="66"/>
        <v>21486.300000000003</v>
      </c>
    </row>
  </sheetData>
  <pageMargins left="0.70866141732283472" right="0.11811023622047245" top="0.15748031496062992" bottom="0.15748031496062992" header="0.31496062992125984" footer="0.31496062992125984"/>
  <pageSetup paperSize="9" scale="1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workbookViewId="0">
      <selection activeCell="F17" sqref="F17"/>
    </sheetView>
  </sheetViews>
  <sheetFormatPr defaultRowHeight="12.75" x14ac:dyDescent="0.2"/>
  <cols>
    <col min="1" max="1" width="27.85546875" customWidth="1"/>
    <col min="2" max="2" width="11" customWidth="1"/>
    <col min="3" max="3" width="10.5703125" customWidth="1"/>
    <col min="4" max="5" width="10.7109375" customWidth="1"/>
    <col min="6" max="7" width="11.28515625" customWidth="1"/>
    <col min="8" max="8" width="10.7109375" customWidth="1"/>
    <col min="9" max="10" width="11.5703125" customWidth="1"/>
    <col min="11" max="11" width="10.7109375" customWidth="1"/>
    <col min="12" max="13" width="11.140625" customWidth="1"/>
    <col min="14" max="14" width="12.28515625" customWidth="1"/>
    <col min="15" max="15" width="11" customWidth="1"/>
    <col min="16" max="16" width="10.7109375" customWidth="1"/>
    <col min="17" max="17" width="11" customWidth="1"/>
    <col min="18" max="18" width="12.140625" customWidth="1"/>
    <col min="19" max="19" width="0.28515625" hidden="1" customWidth="1"/>
    <col min="20" max="20" width="13" hidden="1" customWidth="1"/>
    <col min="21" max="21" width="15.7109375" customWidth="1"/>
    <col min="257" max="257" width="27.85546875" customWidth="1"/>
    <col min="258" max="258" width="11" customWidth="1"/>
    <col min="259" max="259" width="10.5703125" customWidth="1"/>
    <col min="260" max="261" width="10.7109375" customWidth="1"/>
    <col min="262" max="263" width="11.28515625" customWidth="1"/>
    <col min="264" max="264" width="10.7109375" customWidth="1"/>
    <col min="265" max="266" width="11.5703125" customWidth="1"/>
    <col min="267" max="267" width="10.7109375" customWidth="1"/>
    <col min="268" max="269" width="11.140625" customWidth="1"/>
    <col min="270" max="270" width="12.28515625" customWidth="1"/>
    <col min="271" max="271" width="11" customWidth="1"/>
    <col min="272" max="272" width="10.7109375" customWidth="1"/>
    <col min="273" max="273" width="11" customWidth="1"/>
    <col min="274" max="274" width="12.140625" customWidth="1"/>
    <col min="275" max="276" width="0" hidden="1" customWidth="1"/>
    <col min="277" max="277" width="15.7109375" customWidth="1"/>
    <col min="513" max="513" width="27.85546875" customWidth="1"/>
    <col min="514" max="514" width="11" customWidth="1"/>
    <col min="515" max="515" width="10.5703125" customWidth="1"/>
    <col min="516" max="517" width="10.7109375" customWidth="1"/>
    <col min="518" max="519" width="11.28515625" customWidth="1"/>
    <col min="520" max="520" width="10.7109375" customWidth="1"/>
    <col min="521" max="522" width="11.5703125" customWidth="1"/>
    <col min="523" max="523" width="10.7109375" customWidth="1"/>
    <col min="524" max="525" width="11.140625" customWidth="1"/>
    <col min="526" max="526" width="12.28515625" customWidth="1"/>
    <col min="527" max="527" width="11" customWidth="1"/>
    <col min="528" max="528" width="10.7109375" customWidth="1"/>
    <col min="529" max="529" width="11" customWidth="1"/>
    <col min="530" max="530" width="12.140625" customWidth="1"/>
    <col min="531" max="532" width="0" hidden="1" customWidth="1"/>
    <col min="533" max="533" width="15.7109375" customWidth="1"/>
    <col min="769" max="769" width="27.85546875" customWidth="1"/>
    <col min="770" max="770" width="11" customWidth="1"/>
    <col min="771" max="771" width="10.5703125" customWidth="1"/>
    <col min="772" max="773" width="10.7109375" customWidth="1"/>
    <col min="774" max="775" width="11.28515625" customWidth="1"/>
    <col min="776" max="776" width="10.7109375" customWidth="1"/>
    <col min="777" max="778" width="11.5703125" customWidth="1"/>
    <col min="779" max="779" width="10.7109375" customWidth="1"/>
    <col min="780" max="781" width="11.140625" customWidth="1"/>
    <col min="782" max="782" width="12.28515625" customWidth="1"/>
    <col min="783" max="783" width="11" customWidth="1"/>
    <col min="784" max="784" width="10.7109375" customWidth="1"/>
    <col min="785" max="785" width="11" customWidth="1"/>
    <col min="786" max="786" width="12.140625" customWidth="1"/>
    <col min="787" max="788" width="0" hidden="1" customWidth="1"/>
    <col min="789" max="789" width="15.7109375" customWidth="1"/>
    <col min="1025" max="1025" width="27.85546875" customWidth="1"/>
    <col min="1026" max="1026" width="11" customWidth="1"/>
    <col min="1027" max="1027" width="10.5703125" customWidth="1"/>
    <col min="1028" max="1029" width="10.7109375" customWidth="1"/>
    <col min="1030" max="1031" width="11.28515625" customWidth="1"/>
    <col min="1032" max="1032" width="10.7109375" customWidth="1"/>
    <col min="1033" max="1034" width="11.5703125" customWidth="1"/>
    <col min="1035" max="1035" width="10.7109375" customWidth="1"/>
    <col min="1036" max="1037" width="11.140625" customWidth="1"/>
    <col min="1038" max="1038" width="12.28515625" customWidth="1"/>
    <col min="1039" max="1039" width="11" customWidth="1"/>
    <col min="1040" max="1040" width="10.7109375" customWidth="1"/>
    <col min="1041" max="1041" width="11" customWidth="1"/>
    <col min="1042" max="1042" width="12.140625" customWidth="1"/>
    <col min="1043" max="1044" width="0" hidden="1" customWidth="1"/>
    <col min="1045" max="1045" width="15.7109375" customWidth="1"/>
    <col min="1281" max="1281" width="27.85546875" customWidth="1"/>
    <col min="1282" max="1282" width="11" customWidth="1"/>
    <col min="1283" max="1283" width="10.5703125" customWidth="1"/>
    <col min="1284" max="1285" width="10.7109375" customWidth="1"/>
    <col min="1286" max="1287" width="11.28515625" customWidth="1"/>
    <col min="1288" max="1288" width="10.7109375" customWidth="1"/>
    <col min="1289" max="1290" width="11.5703125" customWidth="1"/>
    <col min="1291" max="1291" width="10.7109375" customWidth="1"/>
    <col min="1292" max="1293" width="11.140625" customWidth="1"/>
    <col min="1294" max="1294" width="12.28515625" customWidth="1"/>
    <col min="1295" max="1295" width="11" customWidth="1"/>
    <col min="1296" max="1296" width="10.7109375" customWidth="1"/>
    <col min="1297" max="1297" width="11" customWidth="1"/>
    <col min="1298" max="1298" width="12.140625" customWidth="1"/>
    <col min="1299" max="1300" width="0" hidden="1" customWidth="1"/>
    <col min="1301" max="1301" width="15.7109375" customWidth="1"/>
    <col min="1537" max="1537" width="27.85546875" customWidth="1"/>
    <col min="1538" max="1538" width="11" customWidth="1"/>
    <col min="1539" max="1539" width="10.5703125" customWidth="1"/>
    <col min="1540" max="1541" width="10.7109375" customWidth="1"/>
    <col min="1542" max="1543" width="11.28515625" customWidth="1"/>
    <col min="1544" max="1544" width="10.7109375" customWidth="1"/>
    <col min="1545" max="1546" width="11.5703125" customWidth="1"/>
    <col min="1547" max="1547" width="10.7109375" customWidth="1"/>
    <col min="1548" max="1549" width="11.140625" customWidth="1"/>
    <col min="1550" max="1550" width="12.28515625" customWidth="1"/>
    <col min="1551" max="1551" width="11" customWidth="1"/>
    <col min="1552" max="1552" width="10.7109375" customWidth="1"/>
    <col min="1553" max="1553" width="11" customWidth="1"/>
    <col min="1554" max="1554" width="12.140625" customWidth="1"/>
    <col min="1555" max="1556" width="0" hidden="1" customWidth="1"/>
    <col min="1557" max="1557" width="15.7109375" customWidth="1"/>
    <col min="1793" max="1793" width="27.85546875" customWidth="1"/>
    <col min="1794" max="1794" width="11" customWidth="1"/>
    <col min="1795" max="1795" width="10.5703125" customWidth="1"/>
    <col min="1796" max="1797" width="10.7109375" customWidth="1"/>
    <col min="1798" max="1799" width="11.28515625" customWidth="1"/>
    <col min="1800" max="1800" width="10.7109375" customWidth="1"/>
    <col min="1801" max="1802" width="11.5703125" customWidth="1"/>
    <col min="1803" max="1803" width="10.7109375" customWidth="1"/>
    <col min="1804" max="1805" width="11.140625" customWidth="1"/>
    <col min="1806" max="1806" width="12.28515625" customWidth="1"/>
    <col min="1807" max="1807" width="11" customWidth="1"/>
    <col min="1808" max="1808" width="10.7109375" customWidth="1"/>
    <col min="1809" max="1809" width="11" customWidth="1"/>
    <col min="1810" max="1810" width="12.140625" customWidth="1"/>
    <col min="1811" max="1812" width="0" hidden="1" customWidth="1"/>
    <col min="1813" max="1813" width="15.7109375" customWidth="1"/>
    <col min="2049" max="2049" width="27.85546875" customWidth="1"/>
    <col min="2050" max="2050" width="11" customWidth="1"/>
    <col min="2051" max="2051" width="10.5703125" customWidth="1"/>
    <col min="2052" max="2053" width="10.7109375" customWidth="1"/>
    <col min="2054" max="2055" width="11.28515625" customWidth="1"/>
    <col min="2056" max="2056" width="10.7109375" customWidth="1"/>
    <col min="2057" max="2058" width="11.5703125" customWidth="1"/>
    <col min="2059" max="2059" width="10.7109375" customWidth="1"/>
    <col min="2060" max="2061" width="11.140625" customWidth="1"/>
    <col min="2062" max="2062" width="12.28515625" customWidth="1"/>
    <col min="2063" max="2063" width="11" customWidth="1"/>
    <col min="2064" max="2064" width="10.7109375" customWidth="1"/>
    <col min="2065" max="2065" width="11" customWidth="1"/>
    <col min="2066" max="2066" width="12.140625" customWidth="1"/>
    <col min="2067" max="2068" width="0" hidden="1" customWidth="1"/>
    <col min="2069" max="2069" width="15.7109375" customWidth="1"/>
    <col min="2305" max="2305" width="27.85546875" customWidth="1"/>
    <col min="2306" max="2306" width="11" customWidth="1"/>
    <col min="2307" max="2307" width="10.5703125" customWidth="1"/>
    <col min="2308" max="2309" width="10.7109375" customWidth="1"/>
    <col min="2310" max="2311" width="11.28515625" customWidth="1"/>
    <col min="2312" max="2312" width="10.7109375" customWidth="1"/>
    <col min="2313" max="2314" width="11.5703125" customWidth="1"/>
    <col min="2315" max="2315" width="10.7109375" customWidth="1"/>
    <col min="2316" max="2317" width="11.140625" customWidth="1"/>
    <col min="2318" max="2318" width="12.28515625" customWidth="1"/>
    <col min="2319" max="2319" width="11" customWidth="1"/>
    <col min="2320" max="2320" width="10.7109375" customWidth="1"/>
    <col min="2321" max="2321" width="11" customWidth="1"/>
    <col min="2322" max="2322" width="12.140625" customWidth="1"/>
    <col min="2323" max="2324" width="0" hidden="1" customWidth="1"/>
    <col min="2325" max="2325" width="15.7109375" customWidth="1"/>
    <col min="2561" max="2561" width="27.85546875" customWidth="1"/>
    <col min="2562" max="2562" width="11" customWidth="1"/>
    <col min="2563" max="2563" width="10.5703125" customWidth="1"/>
    <col min="2564" max="2565" width="10.7109375" customWidth="1"/>
    <col min="2566" max="2567" width="11.28515625" customWidth="1"/>
    <col min="2568" max="2568" width="10.7109375" customWidth="1"/>
    <col min="2569" max="2570" width="11.5703125" customWidth="1"/>
    <col min="2571" max="2571" width="10.7109375" customWidth="1"/>
    <col min="2572" max="2573" width="11.140625" customWidth="1"/>
    <col min="2574" max="2574" width="12.28515625" customWidth="1"/>
    <col min="2575" max="2575" width="11" customWidth="1"/>
    <col min="2576" max="2576" width="10.7109375" customWidth="1"/>
    <col min="2577" max="2577" width="11" customWidth="1"/>
    <col min="2578" max="2578" width="12.140625" customWidth="1"/>
    <col min="2579" max="2580" width="0" hidden="1" customWidth="1"/>
    <col min="2581" max="2581" width="15.7109375" customWidth="1"/>
    <col min="2817" max="2817" width="27.85546875" customWidth="1"/>
    <col min="2818" max="2818" width="11" customWidth="1"/>
    <col min="2819" max="2819" width="10.5703125" customWidth="1"/>
    <col min="2820" max="2821" width="10.7109375" customWidth="1"/>
    <col min="2822" max="2823" width="11.28515625" customWidth="1"/>
    <col min="2824" max="2824" width="10.7109375" customWidth="1"/>
    <col min="2825" max="2826" width="11.5703125" customWidth="1"/>
    <col min="2827" max="2827" width="10.7109375" customWidth="1"/>
    <col min="2828" max="2829" width="11.140625" customWidth="1"/>
    <col min="2830" max="2830" width="12.28515625" customWidth="1"/>
    <col min="2831" max="2831" width="11" customWidth="1"/>
    <col min="2832" max="2832" width="10.7109375" customWidth="1"/>
    <col min="2833" max="2833" width="11" customWidth="1"/>
    <col min="2834" max="2834" width="12.140625" customWidth="1"/>
    <col min="2835" max="2836" width="0" hidden="1" customWidth="1"/>
    <col min="2837" max="2837" width="15.7109375" customWidth="1"/>
    <col min="3073" max="3073" width="27.85546875" customWidth="1"/>
    <col min="3074" max="3074" width="11" customWidth="1"/>
    <col min="3075" max="3075" width="10.5703125" customWidth="1"/>
    <col min="3076" max="3077" width="10.7109375" customWidth="1"/>
    <col min="3078" max="3079" width="11.28515625" customWidth="1"/>
    <col min="3080" max="3080" width="10.7109375" customWidth="1"/>
    <col min="3081" max="3082" width="11.5703125" customWidth="1"/>
    <col min="3083" max="3083" width="10.7109375" customWidth="1"/>
    <col min="3084" max="3085" width="11.140625" customWidth="1"/>
    <col min="3086" max="3086" width="12.28515625" customWidth="1"/>
    <col min="3087" max="3087" width="11" customWidth="1"/>
    <col min="3088" max="3088" width="10.7109375" customWidth="1"/>
    <col min="3089" max="3089" width="11" customWidth="1"/>
    <col min="3090" max="3090" width="12.140625" customWidth="1"/>
    <col min="3091" max="3092" width="0" hidden="1" customWidth="1"/>
    <col min="3093" max="3093" width="15.7109375" customWidth="1"/>
    <col min="3329" max="3329" width="27.85546875" customWidth="1"/>
    <col min="3330" max="3330" width="11" customWidth="1"/>
    <col min="3331" max="3331" width="10.5703125" customWidth="1"/>
    <col min="3332" max="3333" width="10.7109375" customWidth="1"/>
    <col min="3334" max="3335" width="11.28515625" customWidth="1"/>
    <col min="3336" max="3336" width="10.7109375" customWidth="1"/>
    <col min="3337" max="3338" width="11.5703125" customWidth="1"/>
    <col min="3339" max="3339" width="10.7109375" customWidth="1"/>
    <col min="3340" max="3341" width="11.140625" customWidth="1"/>
    <col min="3342" max="3342" width="12.28515625" customWidth="1"/>
    <col min="3343" max="3343" width="11" customWidth="1"/>
    <col min="3344" max="3344" width="10.7109375" customWidth="1"/>
    <col min="3345" max="3345" width="11" customWidth="1"/>
    <col min="3346" max="3346" width="12.140625" customWidth="1"/>
    <col min="3347" max="3348" width="0" hidden="1" customWidth="1"/>
    <col min="3349" max="3349" width="15.7109375" customWidth="1"/>
    <col min="3585" max="3585" width="27.85546875" customWidth="1"/>
    <col min="3586" max="3586" width="11" customWidth="1"/>
    <col min="3587" max="3587" width="10.5703125" customWidth="1"/>
    <col min="3588" max="3589" width="10.7109375" customWidth="1"/>
    <col min="3590" max="3591" width="11.28515625" customWidth="1"/>
    <col min="3592" max="3592" width="10.7109375" customWidth="1"/>
    <col min="3593" max="3594" width="11.5703125" customWidth="1"/>
    <col min="3595" max="3595" width="10.7109375" customWidth="1"/>
    <col min="3596" max="3597" width="11.140625" customWidth="1"/>
    <col min="3598" max="3598" width="12.28515625" customWidth="1"/>
    <col min="3599" max="3599" width="11" customWidth="1"/>
    <col min="3600" max="3600" width="10.7109375" customWidth="1"/>
    <col min="3601" max="3601" width="11" customWidth="1"/>
    <col min="3602" max="3602" width="12.140625" customWidth="1"/>
    <col min="3603" max="3604" width="0" hidden="1" customWidth="1"/>
    <col min="3605" max="3605" width="15.7109375" customWidth="1"/>
    <col min="3841" max="3841" width="27.85546875" customWidth="1"/>
    <col min="3842" max="3842" width="11" customWidth="1"/>
    <col min="3843" max="3843" width="10.5703125" customWidth="1"/>
    <col min="3844" max="3845" width="10.7109375" customWidth="1"/>
    <col min="3846" max="3847" width="11.28515625" customWidth="1"/>
    <col min="3848" max="3848" width="10.7109375" customWidth="1"/>
    <col min="3849" max="3850" width="11.5703125" customWidth="1"/>
    <col min="3851" max="3851" width="10.7109375" customWidth="1"/>
    <col min="3852" max="3853" width="11.140625" customWidth="1"/>
    <col min="3854" max="3854" width="12.28515625" customWidth="1"/>
    <col min="3855" max="3855" width="11" customWidth="1"/>
    <col min="3856" max="3856" width="10.7109375" customWidth="1"/>
    <col min="3857" max="3857" width="11" customWidth="1"/>
    <col min="3858" max="3858" width="12.140625" customWidth="1"/>
    <col min="3859" max="3860" width="0" hidden="1" customWidth="1"/>
    <col min="3861" max="3861" width="15.7109375" customWidth="1"/>
    <col min="4097" max="4097" width="27.85546875" customWidth="1"/>
    <col min="4098" max="4098" width="11" customWidth="1"/>
    <col min="4099" max="4099" width="10.5703125" customWidth="1"/>
    <col min="4100" max="4101" width="10.7109375" customWidth="1"/>
    <col min="4102" max="4103" width="11.28515625" customWidth="1"/>
    <col min="4104" max="4104" width="10.7109375" customWidth="1"/>
    <col min="4105" max="4106" width="11.5703125" customWidth="1"/>
    <col min="4107" max="4107" width="10.7109375" customWidth="1"/>
    <col min="4108" max="4109" width="11.140625" customWidth="1"/>
    <col min="4110" max="4110" width="12.28515625" customWidth="1"/>
    <col min="4111" max="4111" width="11" customWidth="1"/>
    <col min="4112" max="4112" width="10.7109375" customWidth="1"/>
    <col min="4113" max="4113" width="11" customWidth="1"/>
    <col min="4114" max="4114" width="12.140625" customWidth="1"/>
    <col min="4115" max="4116" width="0" hidden="1" customWidth="1"/>
    <col min="4117" max="4117" width="15.7109375" customWidth="1"/>
    <col min="4353" max="4353" width="27.85546875" customWidth="1"/>
    <col min="4354" max="4354" width="11" customWidth="1"/>
    <col min="4355" max="4355" width="10.5703125" customWidth="1"/>
    <col min="4356" max="4357" width="10.7109375" customWidth="1"/>
    <col min="4358" max="4359" width="11.28515625" customWidth="1"/>
    <col min="4360" max="4360" width="10.7109375" customWidth="1"/>
    <col min="4361" max="4362" width="11.5703125" customWidth="1"/>
    <col min="4363" max="4363" width="10.7109375" customWidth="1"/>
    <col min="4364" max="4365" width="11.140625" customWidth="1"/>
    <col min="4366" max="4366" width="12.28515625" customWidth="1"/>
    <col min="4367" max="4367" width="11" customWidth="1"/>
    <col min="4368" max="4368" width="10.7109375" customWidth="1"/>
    <col min="4369" max="4369" width="11" customWidth="1"/>
    <col min="4370" max="4370" width="12.140625" customWidth="1"/>
    <col min="4371" max="4372" width="0" hidden="1" customWidth="1"/>
    <col min="4373" max="4373" width="15.7109375" customWidth="1"/>
    <col min="4609" max="4609" width="27.85546875" customWidth="1"/>
    <col min="4610" max="4610" width="11" customWidth="1"/>
    <col min="4611" max="4611" width="10.5703125" customWidth="1"/>
    <col min="4612" max="4613" width="10.7109375" customWidth="1"/>
    <col min="4614" max="4615" width="11.28515625" customWidth="1"/>
    <col min="4616" max="4616" width="10.7109375" customWidth="1"/>
    <col min="4617" max="4618" width="11.5703125" customWidth="1"/>
    <col min="4619" max="4619" width="10.7109375" customWidth="1"/>
    <col min="4620" max="4621" width="11.140625" customWidth="1"/>
    <col min="4622" max="4622" width="12.28515625" customWidth="1"/>
    <col min="4623" max="4623" width="11" customWidth="1"/>
    <col min="4624" max="4624" width="10.7109375" customWidth="1"/>
    <col min="4625" max="4625" width="11" customWidth="1"/>
    <col min="4626" max="4626" width="12.140625" customWidth="1"/>
    <col min="4627" max="4628" width="0" hidden="1" customWidth="1"/>
    <col min="4629" max="4629" width="15.7109375" customWidth="1"/>
    <col min="4865" max="4865" width="27.85546875" customWidth="1"/>
    <col min="4866" max="4866" width="11" customWidth="1"/>
    <col min="4867" max="4867" width="10.5703125" customWidth="1"/>
    <col min="4868" max="4869" width="10.7109375" customWidth="1"/>
    <col min="4870" max="4871" width="11.28515625" customWidth="1"/>
    <col min="4872" max="4872" width="10.7109375" customWidth="1"/>
    <col min="4873" max="4874" width="11.5703125" customWidth="1"/>
    <col min="4875" max="4875" width="10.7109375" customWidth="1"/>
    <col min="4876" max="4877" width="11.140625" customWidth="1"/>
    <col min="4878" max="4878" width="12.28515625" customWidth="1"/>
    <col min="4879" max="4879" width="11" customWidth="1"/>
    <col min="4880" max="4880" width="10.7109375" customWidth="1"/>
    <col min="4881" max="4881" width="11" customWidth="1"/>
    <col min="4882" max="4882" width="12.140625" customWidth="1"/>
    <col min="4883" max="4884" width="0" hidden="1" customWidth="1"/>
    <col min="4885" max="4885" width="15.7109375" customWidth="1"/>
    <col min="5121" max="5121" width="27.85546875" customWidth="1"/>
    <col min="5122" max="5122" width="11" customWidth="1"/>
    <col min="5123" max="5123" width="10.5703125" customWidth="1"/>
    <col min="5124" max="5125" width="10.7109375" customWidth="1"/>
    <col min="5126" max="5127" width="11.28515625" customWidth="1"/>
    <col min="5128" max="5128" width="10.7109375" customWidth="1"/>
    <col min="5129" max="5130" width="11.5703125" customWidth="1"/>
    <col min="5131" max="5131" width="10.7109375" customWidth="1"/>
    <col min="5132" max="5133" width="11.140625" customWidth="1"/>
    <col min="5134" max="5134" width="12.28515625" customWidth="1"/>
    <col min="5135" max="5135" width="11" customWidth="1"/>
    <col min="5136" max="5136" width="10.7109375" customWidth="1"/>
    <col min="5137" max="5137" width="11" customWidth="1"/>
    <col min="5138" max="5138" width="12.140625" customWidth="1"/>
    <col min="5139" max="5140" width="0" hidden="1" customWidth="1"/>
    <col min="5141" max="5141" width="15.7109375" customWidth="1"/>
    <col min="5377" max="5377" width="27.85546875" customWidth="1"/>
    <col min="5378" max="5378" width="11" customWidth="1"/>
    <col min="5379" max="5379" width="10.5703125" customWidth="1"/>
    <col min="5380" max="5381" width="10.7109375" customWidth="1"/>
    <col min="5382" max="5383" width="11.28515625" customWidth="1"/>
    <col min="5384" max="5384" width="10.7109375" customWidth="1"/>
    <col min="5385" max="5386" width="11.5703125" customWidth="1"/>
    <col min="5387" max="5387" width="10.7109375" customWidth="1"/>
    <col min="5388" max="5389" width="11.140625" customWidth="1"/>
    <col min="5390" max="5390" width="12.28515625" customWidth="1"/>
    <col min="5391" max="5391" width="11" customWidth="1"/>
    <col min="5392" max="5392" width="10.7109375" customWidth="1"/>
    <col min="5393" max="5393" width="11" customWidth="1"/>
    <col min="5394" max="5394" width="12.140625" customWidth="1"/>
    <col min="5395" max="5396" width="0" hidden="1" customWidth="1"/>
    <col min="5397" max="5397" width="15.7109375" customWidth="1"/>
    <col min="5633" max="5633" width="27.85546875" customWidth="1"/>
    <col min="5634" max="5634" width="11" customWidth="1"/>
    <col min="5635" max="5635" width="10.5703125" customWidth="1"/>
    <col min="5636" max="5637" width="10.7109375" customWidth="1"/>
    <col min="5638" max="5639" width="11.28515625" customWidth="1"/>
    <col min="5640" max="5640" width="10.7109375" customWidth="1"/>
    <col min="5641" max="5642" width="11.5703125" customWidth="1"/>
    <col min="5643" max="5643" width="10.7109375" customWidth="1"/>
    <col min="5644" max="5645" width="11.140625" customWidth="1"/>
    <col min="5646" max="5646" width="12.28515625" customWidth="1"/>
    <col min="5647" max="5647" width="11" customWidth="1"/>
    <col min="5648" max="5648" width="10.7109375" customWidth="1"/>
    <col min="5649" max="5649" width="11" customWidth="1"/>
    <col min="5650" max="5650" width="12.140625" customWidth="1"/>
    <col min="5651" max="5652" width="0" hidden="1" customWidth="1"/>
    <col min="5653" max="5653" width="15.7109375" customWidth="1"/>
    <col min="5889" max="5889" width="27.85546875" customWidth="1"/>
    <col min="5890" max="5890" width="11" customWidth="1"/>
    <col min="5891" max="5891" width="10.5703125" customWidth="1"/>
    <col min="5892" max="5893" width="10.7109375" customWidth="1"/>
    <col min="5894" max="5895" width="11.28515625" customWidth="1"/>
    <col min="5896" max="5896" width="10.7109375" customWidth="1"/>
    <col min="5897" max="5898" width="11.5703125" customWidth="1"/>
    <col min="5899" max="5899" width="10.7109375" customWidth="1"/>
    <col min="5900" max="5901" width="11.140625" customWidth="1"/>
    <col min="5902" max="5902" width="12.28515625" customWidth="1"/>
    <col min="5903" max="5903" width="11" customWidth="1"/>
    <col min="5904" max="5904" width="10.7109375" customWidth="1"/>
    <col min="5905" max="5905" width="11" customWidth="1"/>
    <col min="5906" max="5906" width="12.140625" customWidth="1"/>
    <col min="5907" max="5908" width="0" hidden="1" customWidth="1"/>
    <col min="5909" max="5909" width="15.7109375" customWidth="1"/>
    <col min="6145" max="6145" width="27.85546875" customWidth="1"/>
    <col min="6146" max="6146" width="11" customWidth="1"/>
    <col min="6147" max="6147" width="10.5703125" customWidth="1"/>
    <col min="6148" max="6149" width="10.7109375" customWidth="1"/>
    <col min="6150" max="6151" width="11.28515625" customWidth="1"/>
    <col min="6152" max="6152" width="10.7109375" customWidth="1"/>
    <col min="6153" max="6154" width="11.5703125" customWidth="1"/>
    <col min="6155" max="6155" width="10.7109375" customWidth="1"/>
    <col min="6156" max="6157" width="11.140625" customWidth="1"/>
    <col min="6158" max="6158" width="12.28515625" customWidth="1"/>
    <col min="6159" max="6159" width="11" customWidth="1"/>
    <col min="6160" max="6160" width="10.7109375" customWidth="1"/>
    <col min="6161" max="6161" width="11" customWidth="1"/>
    <col min="6162" max="6162" width="12.140625" customWidth="1"/>
    <col min="6163" max="6164" width="0" hidden="1" customWidth="1"/>
    <col min="6165" max="6165" width="15.7109375" customWidth="1"/>
    <col min="6401" max="6401" width="27.85546875" customWidth="1"/>
    <col min="6402" max="6402" width="11" customWidth="1"/>
    <col min="6403" max="6403" width="10.5703125" customWidth="1"/>
    <col min="6404" max="6405" width="10.7109375" customWidth="1"/>
    <col min="6406" max="6407" width="11.28515625" customWidth="1"/>
    <col min="6408" max="6408" width="10.7109375" customWidth="1"/>
    <col min="6409" max="6410" width="11.5703125" customWidth="1"/>
    <col min="6411" max="6411" width="10.7109375" customWidth="1"/>
    <col min="6412" max="6413" width="11.140625" customWidth="1"/>
    <col min="6414" max="6414" width="12.28515625" customWidth="1"/>
    <col min="6415" max="6415" width="11" customWidth="1"/>
    <col min="6416" max="6416" width="10.7109375" customWidth="1"/>
    <col min="6417" max="6417" width="11" customWidth="1"/>
    <col min="6418" max="6418" width="12.140625" customWidth="1"/>
    <col min="6419" max="6420" width="0" hidden="1" customWidth="1"/>
    <col min="6421" max="6421" width="15.7109375" customWidth="1"/>
    <col min="6657" max="6657" width="27.85546875" customWidth="1"/>
    <col min="6658" max="6658" width="11" customWidth="1"/>
    <col min="6659" max="6659" width="10.5703125" customWidth="1"/>
    <col min="6660" max="6661" width="10.7109375" customWidth="1"/>
    <col min="6662" max="6663" width="11.28515625" customWidth="1"/>
    <col min="6664" max="6664" width="10.7109375" customWidth="1"/>
    <col min="6665" max="6666" width="11.5703125" customWidth="1"/>
    <col min="6667" max="6667" width="10.7109375" customWidth="1"/>
    <col min="6668" max="6669" width="11.140625" customWidth="1"/>
    <col min="6670" max="6670" width="12.28515625" customWidth="1"/>
    <col min="6671" max="6671" width="11" customWidth="1"/>
    <col min="6672" max="6672" width="10.7109375" customWidth="1"/>
    <col min="6673" max="6673" width="11" customWidth="1"/>
    <col min="6674" max="6674" width="12.140625" customWidth="1"/>
    <col min="6675" max="6676" width="0" hidden="1" customWidth="1"/>
    <col min="6677" max="6677" width="15.7109375" customWidth="1"/>
    <col min="6913" max="6913" width="27.85546875" customWidth="1"/>
    <col min="6914" max="6914" width="11" customWidth="1"/>
    <col min="6915" max="6915" width="10.5703125" customWidth="1"/>
    <col min="6916" max="6917" width="10.7109375" customWidth="1"/>
    <col min="6918" max="6919" width="11.28515625" customWidth="1"/>
    <col min="6920" max="6920" width="10.7109375" customWidth="1"/>
    <col min="6921" max="6922" width="11.5703125" customWidth="1"/>
    <col min="6923" max="6923" width="10.7109375" customWidth="1"/>
    <col min="6924" max="6925" width="11.140625" customWidth="1"/>
    <col min="6926" max="6926" width="12.28515625" customWidth="1"/>
    <col min="6927" max="6927" width="11" customWidth="1"/>
    <col min="6928" max="6928" width="10.7109375" customWidth="1"/>
    <col min="6929" max="6929" width="11" customWidth="1"/>
    <col min="6930" max="6930" width="12.140625" customWidth="1"/>
    <col min="6931" max="6932" width="0" hidden="1" customWidth="1"/>
    <col min="6933" max="6933" width="15.7109375" customWidth="1"/>
    <col min="7169" max="7169" width="27.85546875" customWidth="1"/>
    <col min="7170" max="7170" width="11" customWidth="1"/>
    <col min="7171" max="7171" width="10.5703125" customWidth="1"/>
    <col min="7172" max="7173" width="10.7109375" customWidth="1"/>
    <col min="7174" max="7175" width="11.28515625" customWidth="1"/>
    <col min="7176" max="7176" width="10.7109375" customWidth="1"/>
    <col min="7177" max="7178" width="11.5703125" customWidth="1"/>
    <col min="7179" max="7179" width="10.7109375" customWidth="1"/>
    <col min="7180" max="7181" width="11.140625" customWidth="1"/>
    <col min="7182" max="7182" width="12.28515625" customWidth="1"/>
    <col min="7183" max="7183" width="11" customWidth="1"/>
    <col min="7184" max="7184" width="10.7109375" customWidth="1"/>
    <col min="7185" max="7185" width="11" customWidth="1"/>
    <col min="7186" max="7186" width="12.140625" customWidth="1"/>
    <col min="7187" max="7188" width="0" hidden="1" customWidth="1"/>
    <col min="7189" max="7189" width="15.7109375" customWidth="1"/>
    <col min="7425" max="7425" width="27.85546875" customWidth="1"/>
    <col min="7426" max="7426" width="11" customWidth="1"/>
    <col min="7427" max="7427" width="10.5703125" customWidth="1"/>
    <col min="7428" max="7429" width="10.7109375" customWidth="1"/>
    <col min="7430" max="7431" width="11.28515625" customWidth="1"/>
    <col min="7432" max="7432" width="10.7109375" customWidth="1"/>
    <col min="7433" max="7434" width="11.5703125" customWidth="1"/>
    <col min="7435" max="7435" width="10.7109375" customWidth="1"/>
    <col min="7436" max="7437" width="11.140625" customWidth="1"/>
    <col min="7438" max="7438" width="12.28515625" customWidth="1"/>
    <col min="7439" max="7439" width="11" customWidth="1"/>
    <col min="7440" max="7440" width="10.7109375" customWidth="1"/>
    <col min="7441" max="7441" width="11" customWidth="1"/>
    <col min="7442" max="7442" width="12.140625" customWidth="1"/>
    <col min="7443" max="7444" width="0" hidden="1" customWidth="1"/>
    <col min="7445" max="7445" width="15.7109375" customWidth="1"/>
    <col min="7681" max="7681" width="27.85546875" customWidth="1"/>
    <col min="7682" max="7682" width="11" customWidth="1"/>
    <col min="7683" max="7683" width="10.5703125" customWidth="1"/>
    <col min="7684" max="7685" width="10.7109375" customWidth="1"/>
    <col min="7686" max="7687" width="11.28515625" customWidth="1"/>
    <col min="7688" max="7688" width="10.7109375" customWidth="1"/>
    <col min="7689" max="7690" width="11.5703125" customWidth="1"/>
    <col min="7691" max="7691" width="10.7109375" customWidth="1"/>
    <col min="7692" max="7693" width="11.140625" customWidth="1"/>
    <col min="7694" max="7694" width="12.28515625" customWidth="1"/>
    <col min="7695" max="7695" width="11" customWidth="1"/>
    <col min="7696" max="7696" width="10.7109375" customWidth="1"/>
    <col min="7697" max="7697" width="11" customWidth="1"/>
    <col min="7698" max="7698" width="12.140625" customWidth="1"/>
    <col min="7699" max="7700" width="0" hidden="1" customWidth="1"/>
    <col min="7701" max="7701" width="15.7109375" customWidth="1"/>
    <col min="7937" max="7937" width="27.85546875" customWidth="1"/>
    <col min="7938" max="7938" width="11" customWidth="1"/>
    <col min="7939" max="7939" width="10.5703125" customWidth="1"/>
    <col min="7940" max="7941" width="10.7109375" customWidth="1"/>
    <col min="7942" max="7943" width="11.28515625" customWidth="1"/>
    <col min="7944" max="7944" width="10.7109375" customWidth="1"/>
    <col min="7945" max="7946" width="11.5703125" customWidth="1"/>
    <col min="7947" max="7947" width="10.7109375" customWidth="1"/>
    <col min="7948" max="7949" width="11.140625" customWidth="1"/>
    <col min="7950" max="7950" width="12.28515625" customWidth="1"/>
    <col min="7951" max="7951" width="11" customWidth="1"/>
    <col min="7952" max="7952" width="10.7109375" customWidth="1"/>
    <col min="7953" max="7953" width="11" customWidth="1"/>
    <col min="7954" max="7954" width="12.140625" customWidth="1"/>
    <col min="7955" max="7956" width="0" hidden="1" customWidth="1"/>
    <col min="7957" max="7957" width="15.7109375" customWidth="1"/>
    <col min="8193" max="8193" width="27.85546875" customWidth="1"/>
    <col min="8194" max="8194" width="11" customWidth="1"/>
    <col min="8195" max="8195" width="10.5703125" customWidth="1"/>
    <col min="8196" max="8197" width="10.7109375" customWidth="1"/>
    <col min="8198" max="8199" width="11.28515625" customWidth="1"/>
    <col min="8200" max="8200" width="10.7109375" customWidth="1"/>
    <col min="8201" max="8202" width="11.5703125" customWidth="1"/>
    <col min="8203" max="8203" width="10.7109375" customWidth="1"/>
    <col min="8204" max="8205" width="11.140625" customWidth="1"/>
    <col min="8206" max="8206" width="12.28515625" customWidth="1"/>
    <col min="8207" max="8207" width="11" customWidth="1"/>
    <col min="8208" max="8208" width="10.7109375" customWidth="1"/>
    <col min="8209" max="8209" width="11" customWidth="1"/>
    <col min="8210" max="8210" width="12.140625" customWidth="1"/>
    <col min="8211" max="8212" width="0" hidden="1" customWidth="1"/>
    <col min="8213" max="8213" width="15.7109375" customWidth="1"/>
    <col min="8449" max="8449" width="27.85546875" customWidth="1"/>
    <col min="8450" max="8450" width="11" customWidth="1"/>
    <col min="8451" max="8451" width="10.5703125" customWidth="1"/>
    <col min="8452" max="8453" width="10.7109375" customWidth="1"/>
    <col min="8454" max="8455" width="11.28515625" customWidth="1"/>
    <col min="8456" max="8456" width="10.7109375" customWidth="1"/>
    <col min="8457" max="8458" width="11.5703125" customWidth="1"/>
    <col min="8459" max="8459" width="10.7109375" customWidth="1"/>
    <col min="8460" max="8461" width="11.140625" customWidth="1"/>
    <col min="8462" max="8462" width="12.28515625" customWidth="1"/>
    <col min="8463" max="8463" width="11" customWidth="1"/>
    <col min="8464" max="8464" width="10.7109375" customWidth="1"/>
    <col min="8465" max="8465" width="11" customWidth="1"/>
    <col min="8466" max="8466" width="12.140625" customWidth="1"/>
    <col min="8467" max="8468" width="0" hidden="1" customWidth="1"/>
    <col min="8469" max="8469" width="15.7109375" customWidth="1"/>
    <col min="8705" max="8705" width="27.85546875" customWidth="1"/>
    <col min="8706" max="8706" width="11" customWidth="1"/>
    <col min="8707" max="8707" width="10.5703125" customWidth="1"/>
    <col min="8708" max="8709" width="10.7109375" customWidth="1"/>
    <col min="8710" max="8711" width="11.28515625" customWidth="1"/>
    <col min="8712" max="8712" width="10.7109375" customWidth="1"/>
    <col min="8713" max="8714" width="11.5703125" customWidth="1"/>
    <col min="8715" max="8715" width="10.7109375" customWidth="1"/>
    <col min="8716" max="8717" width="11.140625" customWidth="1"/>
    <col min="8718" max="8718" width="12.28515625" customWidth="1"/>
    <col min="8719" max="8719" width="11" customWidth="1"/>
    <col min="8720" max="8720" width="10.7109375" customWidth="1"/>
    <col min="8721" max="8721" width="11" customWidth="1"/>
    <col min="8722" max="8722" width="12.140625" customWidth="1"/>
    <col min="8723" max="8724" width="0" hidden="1" customWidth="1"/>
    <col min="8725" max="8725" width="15.7109375" customWidth="1"/>
    <col min="8961" max="8961" width="27.85546875" customWidth="1"/>
    <col min="8962" max="8962" width="11" customWidth="1"/>
    <col min="8963" max="8963" width="10.5703125" customWidth="1"/>
    <col min="8964" max="8965" width="10.7109375" customWidth="1"/>
    <col min="8966" max="8967" width="11.28515625" customWidth="1"/>
    <col min="8968" max="8968" width="10.7109375" customWidth="1"/>
    <col min="8969" max="8970" width="11.5703125" customWidth="1"/>
    <col min="8971" max="8971" width="10.7109375" customWidth="1"/>
    <col min="8972" max="8973" width="11.140625" customWidth="1"/>
    <col min="8974" max="8974" width="12.28515625" customWidth="1"/>
    <col min="8975" max="8975" width="11" customWidth="1"/>
    <col min="8976" max="8976" width="10.7109375" customWidth="1"/>
    <col min="8977" max="8977" width="11" customWidth="1"/>
    <col min="8978" max="8978" width="12.140625" customWidth="1"/>
    <col min="8979" max="8980" width="0" hidden="1" customWidth="1"/>
    <col min="8981" max="8981" width="15.7109375" customWidth="1"/>
    <col min="9217" max="9217" width="27.85546875" customWidth="1"/>
    <col min="9218" max="9218" width="11" customWidth="1"/>
    <col min="9219" max="9219" width="10.5703125" customWidth="1"/>
    <col min="9220" max="9221" width="10.7109375" customWidth="1"/>
    <col min="9222" max="9223" width="11.28515625" customWidth="1"/>
    <col min="9224" max="9224" width="10.7109375" customWidth="1"/>
    <col min="9225" max="9226" width="11.5703125" customWidth="1"/>
    <col min="9227" max="9227" width="10.7109375" customWidth="1"/>
    <col min="9228" max="9229" width="11.140625" customWidth="1"/>
    <col min="9230" max="9230" width="12.28515625" customWidth="1"/>
    <col min="9231" max="9231" width="11" customWidth="1"/>
    <col min="9232" max="9232" width="10.7109375" customWidth="1"/>
    <col min="9233" max="9233" width="11" customWidth="1"/>
    <col min="9234" max="9234" width="12.140625" customWidth="1"/>
    <col min="9235" max="9236" width="0" hidden="1" customWidth="1"/>
    <col min="9237" max="9237" width="15.7109375" customWidth="1"/>
    <col min="9473" max="9473" width="27.85546875" customWidth="1"/>
    <col min="9474" max="9474" width="11" customWidth="1"/>
    <col min="9475" max="9475" width="10.5703125" customWidth="1"/>
    <col min="9476" max="9477" width="10.7109375" customWidth="1"/>
    <col min="9478" max="9479" width="11.28515625" customWidth="1"/>
    <col min="9480" max="9480" width="10.7109375" customWidth="1"/>
    <col min="9481" max="9482" width="11.5703125" customWidth="1"/>
    <col min="9483" max="9483" width="10.7109375" customWidth="1"/>
    <col min="9484" max="9485" width="11.140625" customWidth="1"/>
    <col min="9486" max="9486" width="12.28515625" customWidth="1"/>
    <col min="9487" max="9487" width="11" customWidth="1"/>
    <col min="9488" max="9488" width="10.7109375" customWidth="1"/>
    <col min="9489" max="9489" width="11" customWidth="1"/>
    <col min="9490" max="9490" width="12.140625" customWidth="1"/>
    <col min="9491" max="9492" width="0" hidden="1" customWidth="1"/>
    <col min="9493" max="9493" width="15.7109375" customWidth="1"/>
    <col min="9729" max="9729" width="27.85546875" customWidth="1"/>
    <col min="9730" max="9730" width="11" customWidth="1"/>
    <col min="9731" max="9731" width="10.5703125" customWidth="1"/>
    <col min="9732" max="9733" width="10.7109375" customWidth="1"/>
    <col min="9734" max="9735" width="11.28515625" customWidth="1"/>
    <col min="9736" max="9736" width="10.7109375" customWidth="1"/>
    <col min="9737" max="9738" width="11.5703125" customWidth="1"/>
    <col min="9739" max="9739" width="10.7109375" customWidth="1"/>
    <col min="9740" max="9741" width="11.140625" customWidth="1"/>
    <col min="9742" max="9742" width="12.28515625" customWidth="1"/>
    <col min="9743" max="9743" width="11" customWidth="1"/>
    <col min="9744" max="9744" width="10.7109375" customWidth="1"/>
    <col min="9745" max="9745" width="11" customWidth="1"/>
    <col min="9746" max="9746" width="12.140625" customWidth="1"/>
    <col min="9747" max="9748" width="0" hidden="1" customWidth="1"/>
    <col min="9749" max="9749" width="15.7109375" customWidth="1"/>
    <col min="9985" max="9985" width="27.85546875" customWidth="1"/>
    <col min="9986" max="9986" width="11" customWidth="1"/>
    <col min="9987" max="9987" width="10.5703125" customWidth="1"/>
    <col min="9988" max="9989" width="10.7109375" customWidth="1"/>
    <col min="9990" max="9991" width="11.28515625" customWidth="1"/>
    <col min="9992" max="9992" width="10.7109375" customWidth="1"/>
    <col min="9993" max="9994" width="11.5703125" customWidth="1"/>
    <col min="9995" max="9995" width="10.7109375" customWidth="1"/>
    <col min="9996" max="9997" width="11.140625" customWidth="1"/>
    <col min="9998" max="9998" width="12.28515625" customWidth="1"/>
    <col min="9999" max="9999" width="11" customWidth="1"/>
    <col min="10000" max="10000" width="10.7109375" customWidth="1"/>
    <col min="10001" max="10001" width="11" customWidth="1"/>
    <col min="10002" max="10002" width="12.140625" customWidth="1"/>
    <col min="10003" max="10004" width="0" hidden="1" customWidth="1"/>
    <col min="10005" max="10005" width="15.7109375" customWidth="1"/>
    <col min="10241" max="10241" width="27.85546875" customWidth="1"/>
    <col min="10242" max="10242" width="11" customWidth="1"/>
    <col min="10243" max="10243" width="10.5703125" customWidth="1"/>
    <col min="10244" max="10245" width="10.7109375" customWidth="1"/>
    <col min="10246" max="10247" width="11.28515625" customWidth="1"/>
    <col min="10248" max="10248" width="10.7109375" customWidth="1"/>
    <col min="10249" max="10250" width="11.5703125" customWidth="1"/>
    <col min="10251" max="10251" width="10.7109375" customWidth="1"/>
    <col min="10252" max="10253" width="11.140625" customWidth="1"/>
    <col min="10254" max="10254" width="12.28515625" customWidth="1"/>
    <col min="10255" max="10255" width="11" customWidth="1"/>
    <col min="10256" max="10256" width="10.7109375" customWidth="1"/>
    <col min="10257" max="10257" width="11" customWidth="1"/>
    <col min="10258" max="10258" width="12.140625" customWidth="1"/>
    <col min="10259" max="10260" width="0" hidden="1" customWidth="1"/>
    <col min="10261" max="10261" width="15.7109375" customWidth="1"/>
    <col min="10497" max="10497" width="27.85546875" customWidth="1"/>
    <col min="10498" max="10498" width="11" customWidth="1"/>
    <col min="10499" max="10499" width="10.5703125" customWidth="1"/>
    <col min="10500" max="10501" width="10.7109375" customWidth="1"/>
    <col min="10502" max="10503" width="11.28515625" customWidth="1"/>
    <col min="10504" max="10504" width="10.7109375" customWidth="1"/>
    <col min="10505" max="10506" width="11.5703125" customWidth="1"/>
    <col min="10507" max="10507" width="10.7109375" customWidth="1"/>
    <col min="10508" max="10509" width="11.140625" customWidth="1"/>
    <col min="10510" max="10510" width="12.28515625" customWidth="1"/>
    <col min="10511" max="10511" width="11" customWidth="1"/>
    <col min="10512" max="10512" width="10.7109375" customWidth="1"/>
    <col min="10513" max="10513" width="11" customWidth="1"/>
    <col min="10514" max="10514" width="12.140625" customWidth="1"/>
    <col min="10515" max="10516" width="0" hidden="1" customWidth="1"/>
    <col min="10517" max="10517" width="15.7109375" customWidth="1"/>
    <col min="10753" max="10753" width="27.85546875" customWidth="1"/>
    <col min="10754" max="10754" width="11" customWidth="1"/>
    <col min="10755" max="10755" width="10.5703125" customWidth="1"/>
    <col min="10756" max="10757" width="10.7109375" customWidth="1"/>
    <col min="10758" max="10759" width="11.28515625" customWidth="1"/>
    <col min="10760" max="10760" width="10.7109375" customWidth="1"/>
    <col min="10761" max="10762" width="11.5703125" customWidth="1"/>
    <col min="10763" max="10763" width="10.7109375" customWidth="1"/>
    <col min="10764" max="10765" width="11.140625" customWidth="1"/>
    <col min="10766" max="10766" width="12.28515625" customWidth="1"/>
    <col min="10767" max="10767" width="11" customWidth="1"/>
    <col min="10768" max="10768" width="10.7109375" customWidth="1"/>
    <col min="10769" max="10769" width="11" customWidth="1"/>
    <col min="10770" max="10770" width="12.140625" customWidth="1"/>
    <col min="10771" max="10772" width="0" hidden="1" customWidth="1"/>
    <col min="10773" max="10773" width="15.7109375" customWidth="1"/>
    <col min="11009" max="11009" width="27.85546875" customWidth="1"/>
    <col min="11010" max="11010" width="11" customWidth="1"/>
    <col min="11011" max="11011" width="10.5703125" customWidth="1"/>
    <col min="11012" max="11013" width="10.7109375" customWidth="1"/>
    <col min="11014" max="11015" width="11.28515625" customWidth="1"/>
    <col min="11016" max="11016" width="10.7109375" customWidth="1"/>
    <col min="11017" max="11018" width="11.5703125" customWidth="1"/>
    <col min="11019" max="11019" width="10.7109375" customWidth="1"/>
    <col min="11020" max="11021" width="11.140625" customWidth="1"/>
    <col min="11022" max="11022" width="12.28515625" customWidth="1"/>
    <col min="11023" max="11023" width="11" customWidth="1"/>
    <col min="11024" max="11024" width="10.7109375" customWidth="1"/>
    <col min="11025" max="11025" width="11" customWidth="1"/>
    <col min="11026" max="11026" width="12.140625" customWidth="1"/>
    <col min="11027" max="11028" width="0" hidden="1" customWidth="1"/>
    <col min="11029" max="11029" width="15.7109375" customWidth="1"/>
    <col min="11265" max="11265" width="27.85546875" customWidth="1"/>
    <col min="11266" max="11266" width="11" customWidth="1"/>
    <col min="11267" max="11267" width="10.5703125" customWidth="1"/>
    <col min="11268" max="11269" width="10.7109375" customWidth="1"/>
    <col min="11270" max="11271" width="11.28515625" customWidth="1"/>
    <col min="11272" max="11272" width="10.7109375" customWidth="1"/>
    <col min="11273" max="11274" width="11.5703125" customWidth="1"/>
    <col min="11275" max="11275" width="10.7109375" customWidth="1"/>
    <col min="11276" max="11277" width="11.140625" customWidth="1"/>
    <col min="11278" max="11278" width="12.28515625" customWidth="1"/>
    <col min="11279" max="11279" width="11" customWidth="1"/>
    <col min="11280" max="11280" width="10.7109375" customWidth="1"/>
    <col min="11281" max="11281" width="11" customWidth="1"/>
    <col min="11282" max="11282" width="12.140625" customWidth="1"/>
    <col min="11283" max="11284" width="0" hidden="1" customWidth="1"/>
    <col min="11285" max="11285" width="15.7109375" customWidth="1"/>
    <col min="11521" max="11521" width="27.85546875" customWidth="1"/>
    <col min="11522" max="11522" width="11" customWidth="1"/>
    <col min="11523" max="11523" width="10.5703125" customWidth="1"/>
    <col min="11524" max="11525" width="10.7109375" customWidth="1"/>
    <col min="11526" max="11527" width="11.28515625" customWidth="1"/>
    <col min="11528" max="11528" width="10.7109375" customWidth="1"/>
    <col min="11529" max="11530" width="11.5703125" customWidth="1"/>
    <col min="11531" max="11531" width="10.7109375" customWidth="1"/>
    <col min="11532" max="11533" width="11.140625" customWidth="1"/>
    <col min="11534" max="11534" width="12.28515625" customWidth="1"/>
    <col min="11535" max="11535" width="11" customWidth="1"/>
    <col min="11536" max="11536" width="10.7109375" customWidth="1"/>
    <col min="11537" max="11537" width="11" customWidth="1"/>
    <col min="11538" max="11538" width="12.140625" customWidth="1"/>
    <col min="11539" max="11540" width="0" hidden="1" customWidth="1"/>
    <col min="11541" max="11541" width="15.7109375" customWidth="1"/>
    <col min="11777" max="11777" width="27.85546875" customWidth="1"/>
    <col min="11778" max="11778" width="11" customWidth="1"/>
    <col min="11779" max="11779" width="10.5703125" customWidth="1"/>
    <col min="11780" max="11781" width="10.7109375" customWidth="1"/>
    <col min="11782" max="11783" width="11.28515625" customWidth="1"/>
    <col min="11784" max="11784" width="10.7109375" customWidth="1"/>
    <col min="11785" max="11786" width="11.5703125" customWidth="1"/>
    <col min="11787" max="11787" width="10.7109375" customWidth="1"/>
    <col min="11788" max="11789" width="11.140625" customWidth="1"/>
    <col min="11790" max="11790" width="12.28515625" customWidth="1"/>
    <col min="11791" max="11791" width="11" customWidth="1"/>
    <col min="11792" max="11792" width="10.7109375" customWidth="1"/>
    <col min="11793" max="11793" width="11" customWidth="1"/>
    <col min="11794" max="11794" width="12.140625" customWidth="1"/>
    <col min="11795" max="11796" width="0" hidden="1" customWidth="1"/>
    <col min="11797" max="11797" width="15.7109375" customWidth="1"/>
    <col min="12033" max="12033" width="27.85546875" customWidth="1"/>
    <col min="12034" max="12034" width="11" customWidth="1"/>
    <col min="12035" max="12035" width="10.5703125" customWidth="1"/>
    <col min="12036" max="12037" width="10.7109375" customWidth="1"/>
    <col min="12038" max="12039" width="11.28515625" customWidth="1"/>
    <col min="12040" max="12040" width="10.7109375" customWidth="1"/>
    <col min="12041" max="12042" width="11.5703125" customWidth="1"/>
    <col min="12043" max="12043" width="10.7109375" customWidth="1"/>
    <col min="12044" max="12045" width="11.140625" customWidth="1"/>
    <col min="12046" max="12046" width="12.28515625" customWidth="1"/>
    <col min="12047" max="12047" width="11" customWidth="1"/>
    <col min="12048" max="12048" width="10.7109375" customWidth="1"/>
    <col min="12049" max="12049" width="11" customWidth="1"/>
    <col min="12050" max="12050" width="12.140625" customWidth="1"/>
    <col min="12051" max="12052" width="0" hidden="1" customWidth="1"/>
    <col min="12053" max="12053" width="15.7109375" customWidth="1"/>
    <col min="12289" max="12289" width="27.85546875" customWidth="1"/>
    <col min="12290" max="12290" width="11" customWidth="1"/>
    <col min="12291" max="12291" width="10.5703125" customWidth="1"/>
    <col min="12292" max="12293" width="10.7109375" customWidth="1"/>
    <col min="12294" max="12295" width="11.28515625" customWidth="1"/>
    <col min="12296" max="12296" width="10.7109375" customWidth="1"/>
    <col min="12297" max="12298" width="11.5703125" customWidth="1"/>
    <col min="12299" max="12299" width="10.7109375" customWidth="1"/>
    <col min="12300" max="12301" width="11.140625" customWidth="1"/>
    <col min="12302" max="12302" width="12.28515625" customWidth="1"/>
    <col min="12303" max="12303" width="11" customWidth="1"/>
    <col min="12304" max="12304" width="10.7109375" customWidth="1"/>
    <col min="12305" max="12305" width="11" customWidth="1"/>
    <col min="12306" max="12306" width="12.140625" customWidth="1"/>
    <col min="12307" max="12308" width="0" hidden="1" customWidth="1"/>
    <col min="12309" max="12309" width="15.7109375" customWidth="1"/>
    <col min="12545" max="12545" width="27.85546875" customWidth="1"/>
    <col min="12546" max="12546" width="11" customWidth="1"/>
    <col min="12547" max="12547" width="10.5703125" customWidth="1"/>
    <col min="12548" max="12549" width="10.7109375" customWidth="1"/>
    <col min="12550" max="12551" width="11.28515625" customWidth="1"/>
    <col min="12552" max="12552" width="10.7109375" customWidth="1"/>
    <col min="12553" max="12554" width="11.5703125" customWidth="1"/>
    <col min="12555" max="12555" width="10.7109375" customWidth="1"/>
    <col min="12556" max="12557" width="11.140625" customWidth="1"/>
    <col min="12558" max="12558" width="12.28515625" customWidth="1"/>
    <col min="12559" max="12559" width="11" customWidth="1"/>
    <col min="12560" max="12560" width="10.7109375" customWidth="1"/>
    <col min="12561" max="12561" width="11" customWidth="1"/>
    <col min="12562" max="12562" width="12.140625" customWidth="1"/>
    <col min="12563" max="12564" width="0" hidden="1" customWidth="1"/>
    <col min="12565" max="12565" width="15.7109375" customWidth="1"/>
    <col min="12801" max="12801" width="27.85546875" customWidth="1"/>
    <col min="12802" max="12802" width="11" customWidth="1"/>
    <col min="12803" max="12803" width="10.5703125" customWidth="1"/>
    <col min="12804" max="12805" width="10.7109375" customWidth="1"/>
    <col min="12806" max="12807" width="11.28515625" customWidth="1"/>
    <col min="12808" max="12808" width="10.7109375" customWidth="1"/>
    <col min="12809" max="12810" width="11.5703125" customWidth="1"/>
    <col min="12811" max="12811" width="10.7109375" customWidth="1"/>
    <col min="12812" max="12813" width="11.140625" customWidth="1"/>
    <col min="12814" max="12814" width="12.28515625" customWidth="1"/>
    <col min="12815" max="12815" width="11" customWidth="1"/>
    <col min="12816" max="12816" width="10.7109375" customWidth="1"/>
    <col min="12817" max="12817" width="11" customWidth="1"/>
    <col min="12818" max="12818" width="12.140625" customWidth="1"/>
    <col min="12819" max="12820" width="0" hidden="1" customWidth="1"/>
    <col min="12821" max="12821" width="15.7109375" customWidth="1"/>
    <col min="13057" max="13057" width="27.85546875" customWidth="1"/>
    <col min="13058" max="13058" width="11" customWidth="1"/>
    <col min="13059" max="13059" width="10.5703125" customWidth="1"/>
    <col min="13060" max="13061" width="10.7109375" customWidth="1"/>
    <col min="13062" max="13063" width="11.28515625" customWidth="1"/>
    <col min="13064" max="13064" width="10.7109375" customWidth="1"/>
    <col min="13065" max="13066" width="11.5703125" customWidth="1"/>
    <col min="13067" max="13067" width="10.7109375" customWidth="1"/>
    <col min="13068" max="13069" width="11.140625" customWidth="1"/>
    <col min="13070" max="13070" width="12.28515625" customWidth="1"/>
    <col min="13071" max="13071" width="11" customWidth="1"/>
    <col min="13072" max="13072" width="10.7109375" customWidth="1"/>
    <col min="13073" max="13073" width="11" customWidth="1"/>
    <col min="13074" max="13074" width="12.140625" customWidth="1"/>
    <col min="13075" max="13076" width="0" hidden="1" customWidth="1"/>
    <col min="13077" max="13077" width="15.7109375" customWidth="1"/>
    <col min="13313" max="13313" width="27.85546875" customWidth="1"/>
    <col min="13314" max="13314" width="11" customWidth="1"/>
    <col min="13315" max="13315" width="10.5703125" customWidth="1"/>
    <col min="13316" max="13317" width="10.7109375" customWidth="1"/>
    <col min="13318" max="13319" width="11.28515625" customWidth="1"/>
    <col min="13320" max="13320" width="10.7109375" customWidth="1"/>
    <col min="13321" max="13322" width="11.5703125" customWidth="1"/>
    <col min="13323" max="13323" width="10.7109375" customWidth="1"/>
    <col min="13324" max="13325" width="11.140625" customWidth="1"/>
    <col min="13326" max="13326" width="12.28515625" customWidth="1"/>
    <col min="13327" max="13327" width="11" customWidth="1"/>
    <col min="13328" max="13328" width="10.7109375" customWidth="1"/>
    <col min="13329" max="13329" width="11" customWidth="1"/>
    <col min="13330" max="13330" width="12.140625" customWidth="1"/>
    <col min="13331" max="13332" width="0" hidden="1" customWidth="1"/>
    <col min="13333" max="13333" width="15.7109375" customWidth="1"/>
    <col min="13569" max="13569" width="27.85546875" customWidth="1"/>
    <col min="13570" max="13570" width="11" customWidth="1"/>
    <col min="13571" max="13571" width="10.5703125" customWidth="1"/>
    <col min="13572" max="13573" width="10.7109375" customWidth="1"/>
    <col min="13574" max="13575" width="11.28515625" customWidth="1"/>
    <col min="13576" max="13576" width="10.7109375" customWidth="1"/>
    <col min="13577" max="13578" width="11.5703125" customWidth="1"/>
    <col min="13579" max="13579" width="10.7109375" customWidth="1"/>
    <col min="13580" max="13581" width="11.140625" customWidth="1"/>
    <col min="13582" max="13582" width="12.28515625" customWidth="1"/>
    <col min="13583" max="13583" width="11" customWidth="1"/>
    <col min="13584" max="13584" width="10.7109375" customWidth="1"/>
    <col min="13585" max="13585" width="11" customWidth="1"/>
    <col min="13586" max="13586" width="12.140625" customWidth="1"/>
    <col min="13587" max="13588" width="0" hidden="1" customWidth="1"/>
    <col min="13589" max="13589" width="15.7109375" customWidth="1"/>
    <col min="13825" max="13825" width="27.85546875" customWidth="1"/>
    <col min="13826" max="13826" width="11" customWidth="1"/>
    <col min="13827" max="13827" width="10.5703125" customWidth="1"/>
    <col min="13828" max="13829" width="10.7109375" customWidth="1"/>
    <col min="13830" max="13831" width="11.28515625" customWidth="1"/>
    <col min="13832" max="13832" width="10.7109375" customWidth="1"/>
    <col min="13833" max="13834" width="11.5703125" customWidth="1"/>
    <col min="13835" max="13835" width="10.7109375" customWidth="1"/>
    <col min="13836" max="13837" width="11.140625" customWidth="1"/>
    <col min="13838" max="13838" width="12.28515625" customWidth="1"/>
    <col min="13839" max="13839" width="11" customWidth="1"/>
    <col min="13840" max="13840" width="10.7109375" customWidth="1"/>
    <col min="13841" max="13841" width="11" customWidth="1"/>
    <col min="13842" max="13842" width="12.140625" customWidth="1"/>
    <col min="13843" max="13844" width="0" hidden="1" customWidth="1"/>
    <col min="13845" max="13845" width="15.7109375" customWidth="1"/>
    <col min="14081" max="14081" width="27.85546875" customWidth="1"/>
    <col min="14082" max="14082" width="11" customWidth="1"/>
    <col min="14083" max="14083" width="10.5703125" customWidth="1"/>
    <col min="14084" max="14085" width="10.7109375" customWidth="1"/>
    <col min="14086" max="14087" width="11.28515625" customWidth="1"/>
    <col min="14088" max="14088" width="10.7109375" customWidth="1"/>
    <col min="14089" max="14090" width="11.5703125" customWidth="1"/>
    <col min="14091" max="14091" width="10.7109375" customWidth="1"/>
    <col min="14092" max="14093" width="11.140625" customWidth="1"/>
    <col min="14094" max="14094" width="12.28515625" customWidth="1"/>
    <col min="14095" max="14095" width="11" customWidth="1"/>
    <col min="14096" max="14096" width="10.7109375" customWidth="1"/>
    <col min="14097" max="14097" width="11" customWidth="1"/>
    <col min="14098" max="14098" width="12.140625" customWidth="1"/>
    <col min="14099" max="14100" width="0" hidden="1" customWidth="1"/>
    <col min="14101" max="14101" width="15.7109375" customWidth="1"/>
    <col min="14337" max="14337" width="27.85546875" customWidth="1"/>
    <col min="14338" max="14338" width="11" customWidth="1"/>
    <col min="14339" max="14339" width="10.5703125" customWidth="1"/>
    <col min="14340" max="14341" width="10.7109375" customWidth="1"/>
    <col min="14342" max="14343" width="11.28515625" customWidth="1"/>
    <col min="14344" max="14344" width="10.7109375" customWidth="1"/>
    <col min="14345" max="14346" width="11.5703125" customWidth="1"/>
    <col min="14347" max="14347" width="10.7109375" customWidth="1"/>
    <col min="14348" max="14349" width="11.140625" customWidth="1"/>
    <col min="14350" max="14350" width="12.28515625" customWidth="1"/>
    <col min="14351" max="14351" width="11" customWidth="1"/>
    <col min="14352" max="14352" width="10.7109375" customWidth="1"/>
    <col min="14353" max="14353" width="11" customWidth="1"/>
    <col min="14354" max="14354" width="12.140625" customWidth="1"/>
    <col min="14355" max="14356" width="0" hidden="1" customWidth="1"/>
    <col min="14357" max="14357" width="15.7109375" customWidth="1"/>
    <col min="14593" max="14593" width="27.85546875" customWidth="1"/>
    <col min="14594" max="14594" width="11" customWidth="1"/>
    <col min="14595" max="14595" width="10.5703125" customWidth="1"/>
    <col min="14596" max="14597" width="10.7109375" customWidth="1"/>
    <col min="14598" max="14599" width="11.28515625" customWidth="1"/>
    <col min="14600" max="14600" width="10.7109375" customWidth="1"/>
    <col min="14601" max="14602" width="11.5703125" customWidth="1"/>
    <col min="14603" max="14603" width="10.7109375" customWidth="1"/>
    <col min="14604" max="14605" width="11.140625" customWidth="1"/>
    <col min="14606" max="14606" width="12.28515625" customWidth="1"/>
    <col min="14607" max="14607" width="11" customWidth="1"/>
    <col min="14608" max="14608" width="10.7109375" customWidth="1"/>
    <col min="14609" max="14609" width="11" customWidth="1"/>
    <col min="14610" max="14610" width="12.140625" customWidth="1"/>
    <col min="14611" max="14612" width="0" hidden="1" customWidth="1"/>
    <col min="14613" max="14613" width="15.7109375" customWidth="1"/>
    <col min="14849" max="14849" width="27.85546875" customWidth="1"/>
    <col min="14850" max="14850" width="11" customWidth="1"/>
    <col min="14851" max="14851" width="10.5703125" customWidth="1"/>
    <col min="14852" max="14853" width="10.7109375" customWidth="1"/>
    <col min="14854" max="14855" width="11.28515625" customWidth="1"/>
    <col min="14856" max="14856" width="10.7109375" customWidth="1"/>
    <col min="14857" max="14858" width="11.5703125" customWidth="1"/>
    <col min="14859" max="14859" width="10.7109375" customWidth="1"/>
    <col min="14860" max="14861" width="11.140625" customWidth="1"/>
    <col min="14862" max="14862" width="12.28515625" customWidth="1"/>
    <col min="14863" max="14863" width="11" customWidth="1"/>
    <col min="14864" max="14864" width="10.7109375" customWidth="1"/>
    <col min="14865" max="14865" width="11" customWidth="1"/>
    <col min="14866" max="14866" width="12.140625" customWidth="1"/>
    <col min="14867" max="14868" width="0" hidden="1" customWidth="1"/>
    <col min="14869" max="14869" width="15.7109375" customWidth="1"/>
    <col min="15105" max="15105" width="27.85546875" customWidth="1"/>
    <col min="15106" max="15106" width="11" customWidth="1"/>
    <col min="15107" max="15107" width="10.5703125" customWidth="1"/>
    <col min="15108" max="15109" width="10.7109375" customWidth="1"/>
    <col min="15110" max="15111" width="11.28515625" customWidth="1"/>
    <col min="15112" max="15112" width="10.7109375" customWidth="1"/>
    <col min="15113" max="15114" width="11.5703125" customWidth="1"/>
    <col min="15115" max="15115" width="10.7109375" customWidth="1"/>
    <col min="15116" max="15117" width="11.140625" customWidth="1"/>
    <col min="15118" max="15118" width="12.28515625" customWidth="1"/>
    <col min="15119" max="15119" width="11" customWidth="1"/>
    <col min="15120" max="15120" width="10.7109375" customWidth="1"/>
    <col min="15121" max="15121" width="11" customWidth="1"/>
    <col min="15122" max="15122" width="12.140625" customWidth="1"/>
    <col min="15123" max="15124" width="0" hidden="1" customWidth="1"/>
    <col min="15125" max="15125" width="15.7109375" customWidth="1"/>
    <col min="15361" max="15361" width="27.85546875" customWidth="1"/>
    <col min="15362" max="15362" width="11" customWidth="1"/>
    <col min="15363" max="15363" width="10.5703125" customWidth="1"/>
    <col min="15364" max="15365" width="10.7109375" customWidth="1"/>
    <col min="15366" max="15367" width="11.28515625" customWidth="1"/>
    <col min="15368" max="15368" width="10.7109375" customWidth="1"/>
    <col min="15369" max="15370" width="11.5703125" customWidth="1"/>
    <col min="15371" max="15371" width="10.7109375" customWidth="1"/>
    <col min="15372" max="15373" width="11.140625" customWidth="1"/>
    <col min="15374" max="15374" width="12.28515625" customWidth="1"/>
    <col min="15375" max="15375" width="11" customWidth="1"/>
    <col min="15376" max="15376" width="10.7109375" customWidth="1"/>
    <col min="15377" max="15377" width="11" customWidth="1"/>
    <col min="15378" max="15378" width="12.140625" customWidth="1"/>
    <col min="15379" max="15380" width="0" hidden="1" customWidth="1"/>
    <col min="15381" max="15381" width="15.7109375" customWidth="1"/>
    <col min="15617" max="15617" width="27.85546875" customWidth="1"/>
    <col min="15618" max="15618" width="11" customWidth="1"/>
    <col min="15619" max="15619" width="10.5703125" customWidth="1"/>
    <col min="15620" max="15621" width="10.7109375" customWidth="1"/>
    <col min="15622" max="15623" width="11.28515625" customWidth="1"/>
    <col min="15624" max="15624" width="10.7109375" customWidth="1"/>
    <col min="15625" max="15626" width="11.5703125" customWidth="1"/>
    <col min="15627" max="15627" width="10.7109375" customWidth="1"/>
    <col min="15628" max="15629" width="11.140625" customWidth="1"/>
    <col min="15630" max="15630" width="12.28515625" customWidth="1"/>
    <col min="15631" max="15631" width="11" customWidth="1"/>
    <col min="15632" max="15632" width="10.7109375" customWidth="1"/>
    <col min="15633" max="15633" width="11" customWidth="1"/>
    <col min="15634" max="15634" width="12.140625" customWidth="1"/>
    <col min="15635" max="15636" width="0" hidden="1" customWidth="1"/>
    <col min="15637" max="15637" width="15.7109375" customWidth="1"/>
    <col min="15873" max="15873" width="27.85546875" customWidth="1"/>
    <col min="15874" max="15874" width="11" customWidth="1"/>
    <col min="15875" max="15875" width="10.5703125" customWidth="1"/>
    <col min="15876" max="15877" width="10.7109375" customWidth="1"/>
    <col min="15878" max="15879" width="11.28515625" customWidth="1"/>
    <col min="15880" max="15880" width="10.7109375" customWidth="1"/>
    <col min="15881" max="15882" width="11.5703125" customWidth="1"/>
    <col min="15883" max="15883" width="10.7109375" customWidth="1"/>
    <col min="15884" max="15885" width="11.140625" customWidth="1"/>
    <col min="15886" max="15886" width="12.28515625" customWidth="1"/>
    <col min="15887" max="15887" width="11" customWidth="1"/>
    <col min="15888" max="15888" width="10.7109375" customWidth="1"/>
    <col min="15889" max="15889" width="11" customWidth="1"/>
    <col min="15890" max="15890" width="12.140625" customWidth="1"/>
    <col min="15891" max="15892" width="0" hidden="1" customWidth="1"/>
    <col min="15893" max="15893" width="15.7109375" customWidth="1"/>
    <col min="16129" max="16129" width="27.85546875" customWidth="1"/>
    <col min="16130" max="16130" width="11" customWidth="1"/>
    <col min="16131" max="16131" width="10.5703125" customWidth="1"/>
    <col min="16132" max="16133" width="10.7109375" customWidth="1"/>
    <col min="16134" max="16135" width="11.28515625" customWidth="1"/>
    <col min="16136" max="16136" width="10.7109375" customWidth="1"/>
    <col min="16137" max="16138" width="11.5703125" customWidth="1"/>
    <col min="16139" max="16139" width="10.7109375" customWidth="1"/>
    <col min="16140" max="16141" width="11.140625" customWidth="1"/>
    <col min="16142" max="16142" width="12.28515625" customWidth="1"/>
    <col min="16143" max="16143" width="11" customWidth="1"/>
    <col min="16144" max="16144" width="10.7109375" customWidth="1"/>
    <col min="16145" max="16145" width="11" customWidth="1"/>
    <col min="16146" max="16146" width="12.140625" customWidth="1"/>
    <col min="16147" max="16148" width="0" hidden="1" customWidth="1"/>
    <col min="16149" max="16149" width="15.7109375" customWidth="1"/>
  </cols>
  <sheetData>
    <row r="1" spans="1:20" ht="18" x14ac:dyDescent="0.25">
      <c r="A1" s="138" t="s">
        <v>559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9"/>
      <c r="M1" s="139"/>
      <c r="N1" s="139"/>
      <c r="O1" s="139"/>
      <c r="P1" s="139"/>
      <c r="Q1" s="139"/>
      <c r="R1" s="139"/>
    </row>
    <row r="2" spans="1:20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20" ht="33.75" customHeight="1" x14ac:dyDescent="0.3">
      <c r="A3" s="140"/>
      <c r="B3" s="141" t="s">
        <v>438</v>
      </c>
      <c r="C3" s="140">
        <v>1</v>
      </c>
      <c r="D3" s="140">
        <v>2</v>
      </c>
      <c r="E3" s="140">
        <v>3</v>
      </c>
      <c r="F3" s="385" t="s">
        <v>439</v>
      </c>
      <c r="G3" s="140">
        <v>4</v>
      </c>
      <c r="H3" s="140">
        <v>5</v>
      </c>
      <c r="I3" s="140">
        <v>6</v>
      </c>
      <c r="J3" s="385" t="s">
        <v>440</v>
      </c>
      <c r="K3" s="140">
        <v>7</v>
      </c>
      <c r="L3" s="140">
        <v>8</v>
      </c>
      <c r="M3" s="140">
        <v>9</v>
      </c>
      <c r="N3" s="385" t="s">
        <v>441</v>
      </c>
      <c r="O3" s="140">
        <v>10</v>
      </c>
      <c r="P3" s="140">
        <v>11</v>
      </c>
      <c r="Q3" s="30">
        <v>12</v>
      </c>
      <c r="R3" s="142" t="s">
        <v>233</v>
      </c>
    </row>
    <row r="4" spans="1:20" s="93" customFormat="1" ht="18.75" x14ac:dyDescent="0.3">
      <c r="A4" s="143" t="s">
        <v>100</v>
      </c>
      <c r="B4" s="386">
        <f>B5+B6+B7+B8+B9</f>
        <v>55018</v>
      </c>
      <c r="C4" s="387">
        <v>15005</v>
      </c>
      <c r="D4" s="387">
        <v>20005</v>
      </c>
      <c r="E4" s="387">
        <v>20008</v>
      </c>
      <c r="F4" s="386">
        <f>F5+F6+F7+F8+F9</f>
        <v>61065</v>
      </c>
      <c r="G4" s="387">
        <v>20020</v>
      </c>
      <c r="H4" s="387">
        <v>20020</v>
      </c>
      <c r="I4" s="387">
        <v>21025</v>
      </c>
      <c r="J4" s="386">
        <f>J5+J6+J7+J8+J9</f>
        <v>64050</v>
      </c>
      <c r="K4" s="387">
        <v>24025</v>
      </c>
      <c r="L4" s="387">
        <v>20015</v>
      </c>
      <c r="M4" s="387">
        <v>20010</v>
      </c>
      <c r="N4" s="386">
        <f>N5+N6+N7+N8+N9</f>
        <v>79081.600000000006</v>
      </c>
      <c r="O4" s="387">
        <v>22392.6</v>
      </c>
      <c r="P4" s="387">
        <v>25081.5</v>
      </c>
      <c r="Q4" s="387">
        <v>31607.5</v>
      </c>
      <c r="R4" s="386">
        <f>B4+F4+J4+N4</f>
        <v>259214.6</v>
      </c>
      <c r="S4" s="144"/>
      <c r="T4" s="93">
        <v>99313.8</v>
      </c>
    </row>
    <row r="5" spans="1:20" s="93" customFormat="1" ht="18.75" hidden="1" x14ac:dyDescent="0.3">
      <c r="A5" s="388">
        <v>10102010</v>
      </c>
      <c r="B5" s="386">
        <f>C5+D5+E5</f>
        <v>54800</v>
      </c>
      <c r="C5" s="389">
        <f>C4-C6-C7-C8-C9</f>
        <v>15000</v>
      </c>
      <c r="D5" s="389">
        <f>D4-D6-D7-D8-D9</f>
        <v>20000</v>
      </c>
      <c r="E5" s="389">
        <f>E4-E6-E7-E8-E9</f>
        <v>19800</v>
      </c>
      <c r="F5" s="386">
        <f>G5+H5+I5</f>
        <v>60700</v>
      </c>
      <c r="G5" s="389">
        <f>G4-G6-G7-G8-G9</f>
        <v>20000</v>
      </c>
      <c r="H5" s="389">
        <f>H4-H6-H7-H8-H9</f>
        <v>20000</v>
      </c>
      <c r="I5" s="389">
        <f>I4-I6-I7-I8-I9</f>
        <v>20700</v>
      </c>
      <c r="J5" s="386">
        <f>K5+L5+M5</f>
        <v>62400</v>
      </c>
      <c r="K5" s="389">
        <f>K4-K6-K7-K8-K9</f>
        <v>24000</v>
      </c>
      <c r="L5" s="389">
        <f>L4-L6-L7-L8-L9</f>
        <v>20000</v>
      </c>
      <c r="M5" s="389">
        <f>M4-M6-M7-M8-M9</f>
        <v>18400</v>
      </c>
      <c r="N5" s="386">
        <f>O5+P5+Q5</f>
        <v>76657.5</v>
      </c>
      <c r="O5" s="389">
        <f>O4-O6-O7-O8-O9</f>
        <v>21957.599999999999</v>
      </c>
      <c r="P5" s="389">
        <f>P4-P6-P7-P8-P9</f>
        <v>23831.5</v>
      </c>
      <c r="Q5" s="389">
        <f>Q4-Q6-Q7-Q8-Q9</f>
        <v>30868.400000000001</v>
      </c>
      <c r="R5" s="386">
        <f>B5+F5+J5+N5</f>
        <v>254557.5</v>
      </c>
      <c r="S5" s="144"/>
    </row>
    <row r="6" spans="1:20" s="93" customFormat="1" ht="18.75" hidden="1" x14ac:dyDescent="0.3">
      <c r="A6" s="388">
        <v>10102020</v>
      </c>
      <c r="B6" s="386">
        <f>C6+D6+E6</f>
        <v>0</v>
      </c>
      <c r="C6" s="389"/>
      <c r="D6" s="389"/>
      <c r="E6" s="389"/>
      <c r="F6" s="386">
        <f>G6+H6+I6</f>
        <v>0</v>
      </c>
      <c r="G6" s="389"/>
      <c r="H6" s="389"/>
      <c r="I6" s="389"/>
      <c r="J6" s="386">
        <f>K6+L6+M6</f>
        <v>1000</v>
      </c>
      <c r="K6" s="389"/>
      <c r="L6" s="389"/>
      <c r="M6" s="389">
        <v>1000</v>
      </c>
      <c r="N6" s="386">
        <f>O6+P6+Q6</f>
        <v>800</v>
      </c>
      <c r="O6" s="389"/>
      <c r="P6" s="389">
        <v>800</v>
      </c>
      <c r="Q6" s="389"/>
      <c r="R6" s="386">
        <f t="shared" ref="R6:R35" si="0">B6+F6+J6+N6</f>
        <v>1800</v>
      </c>
      <c r="S6" s="144"/>
    </row>
    <row r="7" spans="1:20" s="93" customFormat="1" ht="18.75" hidden="1" x14ac:dyDescent="0.3">
      <c r="A7" s="388">
        <v>10102030</v>
      </c>
      <c r="B7" s="386">
        <f t="shared" ref="B7:B21" si="1">C7+D7+E7</f>
        <v>200</v>
      </c>
      <c r="C7" s="389"/>
      <c r="D7" s="389"/>
      <c r="E7" s="389">
        <v>200</v>
      </c>
      <c r="F7" s="386">
        <f t="shared" ref="F7:F21" si="2">G7+H7+I7</f>
        <v>300</v>
      </c>
      <c r="G7" s="389"/>
      <c r="H7" s="389"/>
      <c r="I7" s="389">
        <v>300</v>
      </c>
      <c r="J7" s="386">
        <f t="shared" ref="J7:J21" si="3">K7+L7+M7</f>
        <v>600</v>
      </c>
      <c r="K7" s="389"/>
      <c r="L7" s="389"/>
      <c r="M7" s="389">
        <v>600</v>
      </c>
      <c r="N7" s="386">
        <f t="shared" ref="N7:N21" si="4">O7+P7+Q7</f>
        <v>1400</v>
      </c>
      <c r="O7" s="389">
        <v>400</v>
      </c>
      <c r="P7" s="389">
        <v>400</v>
      </c>
      <c r="Q7" s="389">
        <v>600</v>
      </c>
      <c r="R7" s="386">
        <f t="shared" si="0"/>
        <v>2500</v>
      </c>
      <c r="S7" s="144"/>
    </row>
    <row r="8" spans="1:20" s="93" customFormat="1" ht="18.75" hidden="1" x14ac:dyDescent="0.3">
      <c r="A8" s="388">
        <v>10102040</v>
      </c>
      <c r="B8" s="386">
        <f t="shared" si="1"/>
        <v>18</v>
      </c>
      <c r="C8" s="389">
        <v>5</v>
      </c>
      <c r="D8" s="389">
        <v>5</v>
      </c>
      <c r="E8" s="389">
        <v>8</v>
      </c>
      <c r="F8" s="386">
        <f t="shared" si="2"/>
        <v>65</v>
      </c>
      <c r="G8" s="389">
        <v>20</v>
      </c>
      <c r="H8" s="389">
        <v>20</v>
      </c>
      <c r="I8" s="389">
        <v>25</v>
      </c>
      <c r="J8" s="386">
        <f t="shared" si="3"/>
        <v>50</v>
      </c>
      <c r="K8" s="389">
        <v>25</v>
      </c>
      <c r="L8" s="389">
        <v>15</v>
      </c>
      <c r="M8" s="389">
        <v>10</v>
      </c>
      <c r="N8" s="386">
        <f t="shared" si="4"/>
        <v>135</v>
      </c>
      <c r="O8" s="389">
        <v>35</v>
      </c>
      <c r="P8" s="389">
        <v>50</v>
      </c>
      <c r="Q8" s="389">
        <v>50</v>
      </c>
      <c r="R8" s="386">
        <f>B8+F8+J8+N8</f>
        <v>268</v>
      </c>
      <c r="S8" s="144"/>
    </row>
    <row r="9" spans="1:20" s="93" customFormat="1" ht="18.75" hidden="1" x14ac:dyDescent="0.3">
      <c r="A9" s="388">
        <v>10102080</v>
      </c>
      <c r="B9" s="386">
        <f t="shared" si="1"/>
        <v>0</v>
      </c>
      <c r="C9" s="389"/>
      <c r="D9" s="389"/>
      <c r="E9" s="389"/>
      <c r="F9" s="386">
        <f t="shared" si="2"/>
        <v>0</v>
      </c>
      <c r="G9" s="389"/>
      <c r="H9" s="389"/>
      <c r="I9" s="389"/>
      <c r="J9" s="386">
        <f t="shared" si="3"/>
        <v>0</v>
      </c>
      <c r="K9" s="389"/>
      <c r="L9" s="389"/>
      <c r="M9" s="389"/>
      <c r="N9" s="386">
        <f t="shared" si="4"/>
        <v>89.1</v>
      </c>
      <c r="O9" s="389"/>
      <c r="P9" s="389"/>
      <c r="Q9" s="389">
        <v>89.1</v>
      </c>
      <c r="R9" s="386">
        <f t="shared" si="0"/>
        <v>89.1</v>
      </c>
      <c r="S9" s="144"/>
    </row>
    <row r="10" spans="1:20" s="103" customFormat="1" ht="18.75" x14ac:dyDescent="0.3">
      <c r="A10" s="143" t="s">
        <v>234</v>
      </c>
      <c r="B10" s="386">
        <f t="shared" si="1"/>
        <v>2000</v>
      </c>
      <c r="C10" s="387">
        <v>50</v>
      </c>
      <c r="D10" s="387">
        <v>250</v>
      </c>
      <c r="E10" s="387">
        <v>1700</v>
      </c>
      <c r="F10" s="386">
        <f t="shared" si="2"/>
        <v>5700</v>
      </c>
      <c r="G10" s="387">
        <v>800</v>
      </c>
      <c r="H10" s="387">
        <v>3500</v>
      </c>
      <c r="I10" s="387">
        <v>1400</v>
      </c>
      <c r="J10" s="386">
        <f t="shared" si="3"/>
        <v>2910</v>
      </c>
      <c r="K10" s="387">
        <v>1800</v>
      </c>
      <c r="L10" s="387">
        <v>110</v>
      </c>
      <c r="M10" s="387">
        <v>1000</v>
      </c>
      <c r="N10" s="386">
        <f t="shared" si="4"/>
        <v>7801.4</v>
      </c>
      <c r="O10" s="387">
        <v>2100</v>
      </c>
      <c r="P10" s="387">
        <v>3500</v>
      </c>
      <c r="Q10" s="387">
        <v>2201.4</v>
      </c>
      <c r="R10" s="386">
        <f t="shared" si="0"/>
        <v>18411.400000000001</v>
      </c>
      <c r="S10" s="145"/>
    </row>
    <row r="11" spans="1:20" s="148" customFormat="1" ht="18.75" hidden="1" x14ac:dyDescent="0.3">
      <c r="A11" s="146">
        <v>10501011</v>
      </c>
      <c r="B11" s="386">
        <f t="shared" si="1"/>
        <v>1400</v>
      </c>
      <c r="C11" s="390">
        <f>C10-C12</f>
        <v>35</v>
      </c>
      <c r="D11" s="390">
        <f>D10-D12</f>
        <v>175</v>
      </c>
      <c r="E11" s="390">
        <f>E10-E12</f>
        <v>1190</v>
      </c>
      <c r="F11" s="386">
        <f t="shared" si="2"/>
        <v>3990</v>
      </c>
      <c r="G11" s="390">
        <f>G10-G12</f>
        <v>560</v>
      </c>
      <c r="H11" s="390">
        <f>H10-H12</f>
        <v>2450</v>
      </c>
      <c r="I11" s="390">
        <f>I10-I12</f>
        <v>980</v>
      </c>
      <c r="J11" s="386">
        <f t="shared" si="3"/>
        <v>2037</v>
      </c>
      <c r="K11" s="390">
        <f>K10-K12</f>
        <v>1260</v>
      </c>
      <c r="L11" s="390">
        <f>L10-L12</f>
        <v>77</v>
      </c>
      <c r="M11" s="390">
        <f>M10-M12</f>
        <v>700</v>
      </c>
      <c r="N11" s="386">
        <f t="shared" si="4"/>
        <v>5464.4</v>
      </c>
      <c r="O11" s="390">
        <f>O10-O12</f>
        <v>1470</v>
      </c>
      <c r="P11" s="390">
        <f>P10-P12</f>
        <v>2450</v>
      </c>
      <c r="Q11" s="390">
        <f>Q10-Q12</f>
        <v>1544.4</v>
      </c>
      <c r="R11" s="386">
        <f t="shared" si="0"/>
        <v>12891.4</v>
      </c>
      <c r="S11" s="147"/>
    </row>
    <row r="12" spans="1:20" s="148" customFormat="1" ht="18.75" hidden="1" x14ac:dyDescent="0.3">
      <c r="A12" s="146">
        <v>10501021</v>
      </c>
      <c r="B12" s="386">
        <f t="shared" si="1"/>
        <v>600</v>
      </c>
      <c r="C12" s="390">
        <v>15</v>
      </c>
      <c r="D12" s="390">
        <v>75</v>
      </c>
      <c r="E12" s="390">
        <v>510</v>
      </c>
      <c r="F12" s="386">
        <f t="shared" si="2"/>
        <v>1710</v>
      </c>
      <c r="G12" s="390">
        <v>240</v>
      </c>
      <c r="H12" s="390">
        <v>1050</v>
      </c>
      <c r="I12" s="390">
        <v>420</v>
      </c>
      <c r="J12" s="386">
        <f t="shared" si="3"/>
        <v>873</v>
      </c>
      <c r="K12" s="390">
        <v>540</v>
      </c>
      <c r="L12" s="390">
        <v>33</v>
      </c>
      <c r="M12" s="390">
        <v>300</v>
      </c>
      <c r="N12" s="386">
        <f t="shared" si="4"/>
        <v>2337</v>
      </c>
      <c r="O12" s="390">
        <v>630</v>
      </c>
      <c r="P12" s="390">
        <v>1050</v>
      </c>
      <c r="Q12" s="390">
        <v>657</v>
      </c>
      <c r="R12" s="386">
        <f t="shared" si="0"/>
        <v>5520</v>
      </c>
      <c r="S12" s="147"/>
    </row>
    <row r="13" spans="1:20" s="148" customFormat="1" ht="18.75" hidden="1" x14ac:dyDescent="0.3">
      <c r="A13" s="146" t="s">
        <v>235</v>
      </c>
      <c r="B13" s="386">
        <f t="shared" si="1"/>
        <v>0</v>
      </c>
      <c r="C13" s="390"/>
      <c r="D13" s="390"/>
      <c r="E13" s="390"/>
      <c r="F13" s="386">
        <f t="shared" si="2"/>
        <v>0</v>
      </c>
      <c r="G13" s="390"/>
      <c r="H13" s="390"/>
      <c r="I13" s="390"/>
      <c r="J13" s="386">
        <f t="shared" si="3"/>
        <v>0</v>
      </c>
      <c r="K13" s="390"/>
      <c r="L13" s="390"/>
      <c r="M13" s="390"/>
      <c r="N13" s="386">
        <f t="shared" si="4"/>
        <v>0</v>
      </c>
      <c r="O13" s="390"/>
      <c r="P13" s="390"/>
      <c r="Q13" s="391"/>
      <c r="R13" s="386">
        <f t="shared" si="0"/>
        <v>0</v>
      </c>
      <c r="S13" s="147"/>
    </row>
    <row r="14" spans="1:20" s="148" customFormat="1" ht="18.75" x14ac:dyDescent="0.3">
      <c r="A14" s="149" t="s">
        <v>236</v>
      </c>
      <c r="B14" s="386">
        <f t="shared" si="1"/>
        <v>2100</v>
      </c>
      <c r="C14" s="390">
        <v>2100</v>
      </c>
      <c r="D14" s="390"/>
      <c r="E14" s="390"/>
      <c r="F14" s="386">
        <f t="shared" si="2"/>
        <v>1050</v>
      </c>
      <c r="G14" s="390">
        <v>1050</v>
      </c>
      <c r="H14" s="390"/>
      <c r="I14" s="390"/>
      <c r="J14" s="386">
        <f t="shared" si="3"/>
        <v>50</v>
      </c>
      <c r="K14" s="390">
        <v>50</v>
      </c>
      <c r="L14" s="390"/>
      <c r="M14" s="390"/>
      <c r="N14" s="386">
        <f t="shared" si="4"/>
        <v>2018.5</v>
      </c>
      <c r="O14" s="390"/>
      <c r="P14" s="390"/>
      <c r="Q14" s="391">
        <v>2018.5</v>
      </c>
      <c r="R14" s="386">
        <f t="shared" si="0"/>
        <v>5218.5</v>
      </c>
      <c r="S14" s="147"/>
    </row>
    <row r="15" spans="1:20" ht="18.75" x14ac:dyDescent="0.3">
      <c r="A15" s="149" t="s">
        <v>164</v>
      </c>
      <c r="B15" s="386">
        <f t="shared" si="1"/>
        <v>800</v>
      </c>
      <c r="C15" s="390"/>
      <c r="D15" s="390"/>
      <c r="E15" s="390">
        <v>800</v>
      </c>
      <c r="F15" s="386">
        <f t="shared" si="2"/>
        <v>0</v>
      </c>
      <c r="G15" s="390"/>
      <c r="H15" s="390"/>
      <c r="I15" s="390"/>
      <c r="J15" s="386">
        <f t="shared" si="3"/>
        <v>637</v>
      </c>
      <c r="K15" s="390">
        <v>637</v>
      </c>
      <c r="L15" s="390"/>
      <c r="M15" s="390"/>
      <c r="N15" s="386">
        <f t="shared" si="4"/>
        <v>0</v>
      </c>
      <c r="O15" s="390"/>
      <c r="P15" s="390"/>
      <c r="Q15" s="390"/>
      <c r="R15" s="386">
        <f t="shared" si="0"/>
        <v>1437</v>
      </c>
      <c r="S15" s="150"/>
      <c r="T15">
        <v>122.6</v>
      </c>
    </row>
    <row r="16" spans="1:20" s="93" customFormat="1" ht="18.75" x14ac:dyDescent="0.3">
      <c r="A16" s="151" t="s">
        <v>101</v>
      </c>
      <c r="B16" s="386">
        <f t="shared" si="1"/>
        <v>5375.1</v>
      </c>
      <c r="C16" s="389">
        <v>1878.9</v>
      </c>
      <c r="D16" s="389">
        <v>204.9</v>
      </c>
      <c r="E16" s="389">
        <v>3291.3</v>
      </c>
      <c r="F16" s="386">
        <f t="shared" si="2"/>
        <v>3661.7</v>
      </c>
      <c r="G16" s="389">
        <v>1708</v>
      </c>
      <c r="H16" s="389">
        <v>1767.5</v>
      </c>
      <c r="I16" s="389">
        <v>186.2</v>
      </c>
      <c r="J16" s="386">
        <f t="shared" si="3"/>
        <v>7250.2000000000007</v>
      </c>
      <c r="K16" s="389">
        <v>3435.9</v>
      </c>
      <c r="L16" s="389">
        <v>1890.7</v>
      </c>
      <c r="M16" s="389">
        <v>1923.6</v>
      </c>
      <c r="N16" s="386">
        <f t="shared" si="4"/>
        <v>5773.4</v>
      </c>
      <c r="O16" s="389">
        <v>1918.2</v>
      </c>
      <c r="P16" s="389">
        <v>212.8</v>
      </c>
      <c r="Q16" s="389">
        <v>3642.4</v>
      </c>
      <c r="R16" s="386">
        <f t="shared" si="0"/>
        <v>22060.400000000001</v>
      </c>
      <c r="S16" s="144"/>
    </row>
    <row r="17" spans="1:21" ht="18.75" x14ac:dyDescent="0.3">
      <c r="A17" s="149" t="s">
        <v>237</v>
      </c>
      <c r="B17" s="386">
        <f t="shared" si="1"/>
        <v>1994.6</v>
      </c>
      <c r="C17" s="390">
        <v>506</v>
      </c>
      <c r="D17" s="390">
        <v>661.5</v>
      </c>
      <c r="E17" s="390">
        <v>827.1</v>
      </c>
      <c r="F17" s="386">
        <f t="shared" si="2"/>
        <v>2227.3000000000002</v>
      </c>
      <c r="G17" s="390">
        <v>801.3</v>
      </c>
      <c r="H17" s="390">
        <v>695.5</v>
      </c>
      <c r="I17" s="390">
        <v>730.5</v>
      </c>
      <c r="J17" s="386">
        <f t="shared" si="3"/>
        <v>2384.6</v>
      </c>
      <c r="K17" s="390">
        <v>761.8</v>
      </c>
      <c r="L17" s="390">
        <v>810.5</v>
      </c>
      <c r="M17" s="390">
        <v>812.3</v>
      </c>
      <c r="N17" s="386">
        <f t="shared" si="4"/>
        <v>2593.5</v>
      </c>
      <c r="O17" s="390">
        <v>856.5</v>
      </c>
      <c r="P17" s="390">
        <v>847.3</v>
      </c>
      <c r="Q17" s="390">
        <v>889.7</v>
      </c>
      <c r="R17" s="386">
        <f t="shared" si="0"/>
        <v>9200</v>
      </c>
      <c r="S17" s="94" t="e">
        <f>#REF!+#REF!</f>
        <v>#REF!</v>
      </c>
      <c r="T17" s="94" t="e">
        <f>#REF!+#REF!</f>
        <v>#REF!</v>
      </c>
    </row>
    <row r="18" spans="1:21" ht="18.75" x14ac:dyDescent="0.3">
      <c r="A18" s="149" t="s">
        <v>238</v>
      </c>
      <c r="B18" s="386">
        <f t="shared" si="1"/>
        <v>300</v>
      </c>
      <c r="C18" s="390">
        <v>100</v>
      </c>
      <c r="D18" s="390">
        <v>100</v>
      </c>
      <c r="E18" s="390">
        <v>100</v>
      </c>
      <c r="F18" s="386">
        <f t="shared" si="2"/>
        <v>100</v>
      </c>
      <c r="G18" s="390">
        <v>50</v>
      </c>
      <c r="H18" s="390">
        <v>50</v>
      </c>
      <c r="I18" s="390"/>
      <c r="J18" s="386">
        <f t="shared" si="3"/>
        <v>550</v>
      </c>
      <c r="K18" s="390"/>
      <c r="L18" s="390">
        <v>50</v>
      </c>
      <c r="M18" s="390">
        <v>500</v>
      </c>
      <c r="N18" s="386">
        <f t="shared" si="4"/>
        <v>8713.7999999999993</v>
      </c>
      <c r="O18" s="390">
        <v>1500</v>
      </c>
      <c r="P18" s="390">
        <v>6000</v>
      </c>
      <c r="Q18" s="391">
        <v>1213.8</v>
      </c>
      <c r="R18" s="386">
        <f t="shared" si="0"/>
        <v>9663.7999999999993</v>
      </c>
      <c r="S18" s="150"/>
    </row>
    <row r="19" spans="1:21" ht="18.75" x14ac:dyDescent="0.3">
      <c r="A19" s="151" t="s">
        <v>104</v>
      </c>
      <c r="B19" s="386">
        <f t="shared" si="1"/>
        <v>1600</v>
      </c>
      <c r="C19" s="389">
        <f>C20+C21</f>
        <v>200</v>
      </c>
      <c r="D19" s="389">
        <f>D20+D21</f>
        <v>1000</v>
      </c>
      <c r="E19" s="389">
        <f>E20+E21</f>
        <v>400</v>
      </c>
      <c r="F19" s="386">
        <f t="shared" si="2"/>
        <v>1354.8</v>
      </c>
      <c r="G19" s="389">
        <f>G20+G21</f>
        <v>150</v>
      </c>
      <c r="H19" s="389">
        <f>H20+H21</f>
        <v>950</v>
      </c>
      <c r="I19" s="389">
        <f>I20+I21</f>
        <v>254.8</v>
      </c>
      <c r="J19" s="386">
        <f t="shared" si="3"/>
        <v>2600</v>
      </c>
      <c r="K19" s="389">
        <f>K20+K21</f>
        <v>1100</v>
      </c>
      <c r="L19" s="389">
        <f>L20+L21</f>
        <v>200</v>
      </c>
      <c r="M19" s="389">
        <f>M20+M21</f>
        <v>1300</v>
      </c>
      <c r="N19" s="386">
        <f t="shared" si="4"/>
        <v>12830.6</v>
      </c>
      <c r="O19" s="389">
        <f>O20+O21</f>
        <v>4000</v>
      </c>
      <c r="P19" s="389">
        <f>P20+P21</f>
        <v>5200</v>
      </c>
      <c r="Q19" s="389">
        <f>Q20+Q21</f>
        <v>3630.6</v>
      </c>
      <c r="R19" s="386">
        <f t="shared" si="0"/>
        <v>18385.400000000001</v>
      </c>
      <c r="S19" s="150"/>
    </row>
    <row r="20" spans="1:21" ht="18.75" x14ac:dyDescent="0.3">
      <c r="A20" s="149" t="s">
        <v>239</v>
      </c>
      <c r="B20" s="386">
        <f t="shared" si="1"/>
        <v>1300</v>
      </c>
      <c r="C20" s="390"/>
      <c r="D20" s="390">
        <v>900</v>
      </c>
      <c r="E20" s="390">
        <v>400</v>
      </c>
      <c r="F20" s="386">
        <f t="shared" si="2"/>
        <v>1054.8</v>
      </c>
      <c r="G20" s="390">
        <v>50</v>
      </c>
      <c r="H20" s="390">
        <v>850</v>
      </c>
      <c r="I20" s="390">
        <v>154.80000000000001</v>
      </c>
      <c r="J20" s="386">
        <f t="shared" si="3"/>
        <v>1100</v>
      </c>
      <c r="K20" s="390">
        <v>1000</v>
      </c>
      <c r="L20" s="390">
        <v>100</v>
      </c>
      <c r="M20" s="390"/>
      <c r="N20" s="386">
        <f t="shared" si="4"/>
        <v>1350</v>
      </c>
      <c r="O20" s="390">
        <v>1000</v>
      </c>
      <c r="P20" s="390">
        <v>200</v>
      </c>
      <c r="Q20" s="391">
        <v>150</v>
      </c>
      <c r="R20" s="386">
        <f t="shared" si="0"/>
        <v>4804.8</v>
      </c>
      <c r="S20" s="150"/>
    </row>
    <row r="21" spans="1:21" ht="18.75" x14ac:dyDescent="0.3">
      <c r="A21" s="149" t="s">
        <v>240</v>
      </c>
      <c r="B21" s="386">
        <f t="shared" si="1"/>
        <v>300</v>
      </c>
      <c r="C21" s="390">
        <v>200</v>
      </c>
      <c r="D21" s="390">
        <v>100</v>
      </c>
      <c r="E21" s="390">
        <v>0</v>
      </c>
      <c r="F21" s="386">
        <f t="shared" si="2"/>
        <v>300</v>
      </c>
      <c r="G21" s="390">
        <v>100</v>
      </c>
      <c r="H21" s="390">
        <v>100</v>
      </c>
      <c r="I21" s="390">
        <v>100</v>
      </c>
      <c r="J21" s="386">
        <f t="shared" si="3"/>
        <v>1500</v>
      </c>
      <c r="K21" s="390">
        <v>100</v>
      </c>
      <c r="L21" s="390">
        <v>100</v>
      </c>
      <c r="M21" s="390">
        <v>1300</v>
      </c>
      <c r="N21" s="386">
        <f t="shared" si="4"/>
        <v>11480.6</v>
      </c>
      <c r="O21" s="390">
        <v>3000</v>
      </c>
      <c r="P21" s="390">
        <v>5000</v>
      </c>
      <c r="Q21" s="391">
        <v>3480.6</v>
      </c>
      <c r="R21" s="386">
        <f t="shared" si="0"/>
        <v>13580.6</v>
      </c>
      <c r="S21" s="150"/>
    </row>
    <row r="22" spans="1:21" s="148" customFormat="1" ht="23.25" customHeight="1" x14ac:dyDescent="0.3">
      <c r="A22" s="392" t="s">
        <v>145</v>
      </c>
      <c r="B22" s="393">
        <f t="shared" ref="B22:Q22" si="5">B4+B10+B13+B14+B15+B17+B18+B19+B16</f>
        <v>69187.7</v>
      </c>
      <c r="C22" s="393">
        <f t="shared" si="5"/>
        <v>19839.900000000001</v>
      </c>
      <c r="D22" s="393">
        <f t="shared" si="5"/>
        <v>22221.4</v>
      </c>
      <c r="E22" s="393">
        <f t="shared" si="5"/>
        <v>27126.399999999998</v>
      </c>
      <c r="F22" s="393">
        <f t="shared" si="5"/>
        <v>75158.8</v>
      </c>
      <c r="G22" s="393">
        <f t="shared" si="5"/>
        <v>24579.3</v>
      </c>
      <c r="H22" s="393">
        <f t="shared" si="5"/>
        <v>26983</v>
      </c>
      <c r="I22" s="393">
        <f t="shared" si="5"/>
        <v>23596.5</v>
      </c>
      <c r="J22" s="393">
        <f t="shared" si="5"/>
        <v>80431.8</v>
      </c>
      <c r="K22" s="393">
        <f t="shared" si="5"/>
        <v>31809.7</v>
      </c>
      <c r="L22" s="393">
        <f t="shared" si="5"/>
        <v>23076.2</v>
      </c>
      <c r="M22" s="393">
        <f t="shared" si="5"/>
        <v>25545.899999999998</v>
      </c>
      <c r="N22" s="393">
        <f t="shared" si="5"/>
        <v>118812.8</v>
      </c>
      <c r="O22" s="393">
        <f t="shared" si="5"/>
        <v>32767.3</v>
      </c>
      <c r="P22" s="393">
        <f t="shared" si="5"/>
        <v>40841.600000000006</v>
      </c>
      <c r="Q22" s="393">
        <f t="shared" si="5"/>
        <v>45203.9</v>
      </c>
      <c r="R22" s="386">
        <f t="shared" si="0"/>
        <v>343591.1</v>
      </c>
      <c r="S22" s="152" t="e">
        <f>S4+S10+S14+S15+S16+S17+S18+S19+S17</f>
        <v>#REF!</v>
      </c>
      <c r="T22" s="152" t="e">
        <f>T4+T10+T14+T15+T16+T17+T18+T19+T17</f>
        <v>#REF!</v>
      </c>
      <c r="U22" s="394"/>
    </row>
    <row r="23" spans="1:21" ht="18.75" x14ac:dyDescent="0.3">
      <c r="A23" s="151" t="s">
        <v>241</v>
      </c>
      <c r="B23" s="386">
        <f>C23+D23+E23</f>
        <v>0</v>
      </c>
      <c r="C23" s="389"/>
      <c r="D23" s="389"/>
      <c r="E23" s="389"/>
      <c r="F23" s="386">
        <f>G23+H23+I23</f>
        <v>124</v>
      </c>
      <c r="G23" s="389"/>
      <c r="H23" s="389">
        <v>124</v>
      </c>
      <c r="I23" s="389"/>
      <c r="J23" s="386">
        <f>K23+L23+M23</f>
        <v>0</v>
      </c>
      <c r="K23" s="389"/>
      <c r="L23" s="389"/>
      <c r="M23" s="389"/>
      <c r="N23" s="386">
        <f>O23+P23+Q23</f>
        <v>0</v>
      </c>
      <c r="O23" s="389"/>
      <c r="P23" s="389"/>
      <c r="Q23" s="395"/>
      <c r="R23" s="386">
        <f t="shared" si="0"/>
        <v>124</v>
      </c>
      <c r="S23" s="150"/>
      <c r="T23" s="153">
        <v>100</v>
      </c>
      <c r="U23" s="154"/>
    </row>
    <row r="24" spans="1:21" ht="18.75" x14ac:dyDescent="0.3">
      <c r="A24" s="155" t="s">
        <v>242</v>
      </c>
      <c r="B24" s="386">
        <f>C24+D24+E24</f>
        <v>800</v>
      </c>
      <c r="C24" s="390">
        <v>200</v>
      </c>
      <c r="D24" s="390">
        <v>300</v>
      </c>
      <c r="E24" s="390">
        <v>300</v>
      </c>
      <c r="F24" s="386">
        <f>G24+H24+I24</f>
        <v>900</v>
      </c>
      <c r="G24" s="390">
        <v>300</v>
      </c>
      <c r="H24" s="390">
        <v>300</v>
      </c>
      <c r="I24" s="390">
        <v>300</v>
      </c>
      <c r="J24" s="386">
        <f>K24+L24+M24</f>
        <v>1100</v>
      </c>
      <c r="K24" s="390">
        <v>500</v>
      </c>
      <c r="L24" s="390">
        <v>300</v>
      </c>
      <c r="M24" s="390">
        <v>300</v>
      </c>
      <c r="N24" s="386">
        <f>O24+P24+Q24</f>
        <v>1483.3</v>
      </c>
      <c r="O24" s="390">
        <v>500</v>
      </c>
      <c r="P24" s="390">
        <v>300</v>
      </c>
      <c r="Q24" s="390">
        <v>683.3</v>
      </c>
      <c r="R24" s="386">
        <f t="shared" si="0"/>
        <v>4283.3</v>
      </c>
      <c r="S24" s="150"/>
      <c r="T24" s="156">
        <v>2080.5</v>
      </c>
      <c r="U24" s="154"/>
    </row>
    <row r="25" spans="1:21" ht="18.75" x14ac:dyDescent="0.3">
      <c r="A25" s="155" t="s">
        <v>243</v>
      </c>
      <c r="B25" s="386">
        <f>C25+D25+E25</f>
        <v>390</v>
      </c>
      <c r="C25" s="390">
        <v>130</v>
      </c>
      <c r="D25" s="390">
        <v>130</v>
      </c>
      <c r="E25" s="390">
        <v>130</v>
      </c>
      <c r="F25" s="386">
        <f>G25+H25+I25</f>
        <v>390</v>
      </c>
      <c r="G25" s="390">
        <v>130</v>
      </c>
      <c r="H25" s="390">
        <v>130</v>
      </c>
      <c r="I25" s="390">
        <v>130</v>
      </c>
      <c r="J25" s="386">
        <f>K25+L25+M25</f>
        <v>390</v>
      </c>
      <c r="K25" s="390">
        <v>130</v>
      </c>
      <c r="L25" s="390">
        <v>130</v>
      </c>
      <c r="M25" s="390">
        <v>130</v>
      </c>
      <c r="N25" s="386">
        <f>O25+P25+Q25</f>
        <v>392.5</v>
      </c>
      <c r="O25" s="390">
        <v>130</v>
      </c>
      <c r="P25" s="390">
        <v>130</v>
      </c>
      <c r="Q25" s="390">
        <v>132.5</v>
      </c>
      <c r="R25" s="386">
        <f t="shared" si="0"/>
        <v>1562.5</v>
      </c>
      <c r="S25" s="150"/>
      <c r="T25" s="156">
        <v>929.1</v>
      </c>
      <c r="U25" s="154"/>
    </row>
    <row r="26" spans="1:21" ht="18.75" hidden="1" x14ac:dyDescent="0.3">
      <c r="A26" s="396" t="s">
        <v>560</v>
      </c>
      <c r="B26" s="386"/>
      <c r="C26" s="389"/>
      <c r="D26" s="389"/>
      <c r="E26" s="389"/>
      <c r="F26" s="386"/>
      <c r="G26" s="389"/>
      <c r="H26" s="389"/>
      <c r="I26" s="389"/>
      <c r="J26" s="386"/>
      <c r="K26" s="389"/>
      <c r="L26" s="389"/>
      <c r="M26" s="389"/>
      <c r="N26" s="386"/>
      <c r="O26" s="389"/>
      <c r="P26" s="389"/>
      <c r="Q26" s="395"/>
      <c r="R26" s="386">
        <f t="shared" si="0"/>
        <v>0</v>
      </c>
      <c r="S26" s="150"/>
    </row>
    <row r="27" spans="1:21" ht="18.75" x14ac:dyDescent="0.3">
      <c r="A27" s="149" t="s">
        <v>244</v>
      </c>
      <c r="B27" s="386">
        <f>C27+D27+E27</f>
        <v>0</v>
      </c>
      <c r="C27" s="390"/>
      <c r="D27" s="390"/>
      <c r="E27" s="390"/>
      <c r="F27" s="386">
        <f>G27+H27+I27</f>
        <v>0</v>
      </c>
      <c r="G27" s="390"/>
      <c r="H27" s="390"/>
      <c r="I27" s="390"/>
      <c r="J27" s="386">
        <f>K27+L27+M27</f>
        <v>0</v>
      </c>
      <c r="K27" s="390"/>
      <c r="L27" s="390"/>
      <c r="M27" s="390"/>
      <c r="N27" s="386">
        <f>O27+P27+Q27</f>
        <v>650</v>
      </c>
      <c r="O27" s="390"/>
      <c r="P27" s="390"/>
      <c r="Q27" s="391">
        <v>650</v>
      </c>
      <c r="R27" s="386">
        <f t="shared" si="0"/>
        <v>650</v>
      </c>
      <c r="S27" s="150"/>
      <c r="T27" s="153">
        <v>450</v>
      </c>
      <c r="U27" s="154"/>
    </row>
    <row r="28" spans="1:21" ht="18.75" x14ac:dyDescent="0.3">
      <c r="A28" s="155" t="s">
        <v>245</v>
      </c>
      <c r="B28" s="386">
        <f>C28+D28+E28</f>
        <v>300</v>
      </c>
      <c r="C28" s="390">
        <v>100</v>
      </c>
      <c r="D28" s="390">
        <v>100</v>
      </c>
      <c r="E28" s="390">
        <v>100</v>
      </c>
      <c r="F28" s="386">
        <f>G28+H28+I28</f>
        <v>1500</v>
      </c>
      <c r="G28" s="390">
        <v>0</v>
      </c>
      <c r="H28" s="390">
        <v>1000</v>
      </c>
      <c r="I28" s="390">
        <v>500</v>
      </c>
      <c r="J28" s="386">
        <f>K28+L28+M28</f>
        <v>1500</v>
      </c>
      <c r="K28" s="390"/>
      <c r="L28" s="390">
        <v>1000</v>
      </c>
      <c r="M28" s="390">
        <v>500</v>
      </c>
      <c r="N28" s="386">
        <f>O28+P28+Q28</f>
        <v>1200</v>
      </c>
      <c r="O28" s="390">
        <v>1200</v>
      </c>
      <c r="P28" s="390"/>
      <c r="Q28" s="390"/>
      <c r="R28" s="386">
        <f t="shared" si="0"/>
        <v>4500</v>
      </c>
      <c r="S28" s="150"/>
      <c r="T28" s="153">
        <v>1300</v>
      </c>
      <c r="U28" s="154"/>
    </row>
    <row r="29" spans="1:21" ht="18.75" x14ac:dyDescent="0.3">
      <c r="A29" s="149" t="s">
        <v>246</v>
      </c>
      <c r="B29" s="386">
        <f>C29+D29+E29</f>
        <v>259</v>
      </c>
      <c r="C29" s="390">
        <v>19</v>
      </c>
      <c r="D29" s="390">
        <v>100</v>
      </c>
      <c r="E29" s="390">
        <v>140</v>
      </c>
      <c r="F29" s="386">
        <f>G29+H29+I29</f>
        <v>230</v>
      </c>
      <c r="G29" s="390"/>
      <c r="H29" s="390">
        <v>190</v>
      </c>
      <c r="I29" s="390">
        <v>40</v>
      </c>
      <c r="J29" s="386">
        <f>K29+L29+M29</f>
        <v>210</v>
      </c>
      <c r="K29" s="390">
        <v>190</v>
      </c>
      <c r="L29" s="390"/>
      <c r="M29" s="390">
        <v>20</v>
      </c>
      <c r="N29" s="386">
        <f>O29+P29+Q29</f>
        <v>225.8</v>
      </c>
      <c r="O29" s="390">
        <v>190</v>
      </c>
      <c r="P29" s="390"/>
      <c r="Q29" s="391">
        <v>35.799999999999997</v>
      </c>
      <c r="R29" s="386">
        <f t="shared" si="0"/>
        <v>924.8</v>
      </c>
      <c r="S29" s="150"/>
      <c r="T29" s="156">
        <v>982.2</v>
      </c>
      <c r="U29" s="154"/>
    </row>
    <row r="30" spans="1:21" ht="18.75" x14ac:dyDescent="0.3">
      <c r="A30" s="149" t="s">
        <v>109</v>
      </c>
      <c r="B30" s="386">
        <f>C30+D30+E30</f>
        <v>160</v>
      </c>
      <c r="C30" s="390">
        <v>30</v>
      </c>
      <c r="D30" s="390">
        <v>30</v>
      </c>
      <c r="E30" s="390">
        <v>100</v>
      </c>
      <c r="F30" s="386">
        <f>G30+H30+I30</f>
        <v>180</v>
      </c>
      <c r="G30" s="390">
        <v>60</v>
      </c>
      <c r="H30" s="390">
        <v>60</v>
      </c>
      <c r="I30" s="390">
        <v>60</v>
      </c>
      <c r="J30" s="386">
        <f>K30+L30+M30</f>
        <v>220</v>
      </c>
      <c r="K30" s="390">
        <v>100</v>
      </c>
      <c r="L30" s="390">
        <v>60</v>
      </c>
      <c r="M30" s="390">
        <v>60</v>
      </c>
      <c r="N30" s="386">
        <f>O30+P30+Q30</f>
        <v>189.5</v>
      </c>
      <c r="O30" s="390">
        <v>100</v>
      </c>
      <c r="P30" s="390">
        <v>60</v>
      </c>
      <c r="Q30" s="391">
        <v>29.5</v>
      </c>
      <c r="R30" s="386">
        <f t="shared" si="0"/>
        <v>749.5</v>
      </c>
      <c r="S30" s="150"/>
      <c r="T30" s="156">
        <v>1372.9</v>
      </c>
      <c r="U30" s="154"/>
    </row>
    <row r="31" spans="1:21" ht="33.75" customHeight="1" x14ac:dyDescent="0.3">
      <c r="A31" s="157" t="s">
        <v>247</v>
      </c>
      <c r="B31" s="386">
        <f>C31+D31+E31</f>
        <v>90</v>
      </c>
      <c r="C31" s="390">
        <v>50</v>
      </c>
      <c r="D31" s="390">
        <v>10</v>
      </c>
      <c r="E31" s="390">
        <v>30</v>
      </c>
      <c r="F31" s="386">
        <f>G31+H31+I31</f>
        <v>130</v>
      </c>
      <c r="G31" s="390">
        <v>30</v>
      </c>
      <c r="H31" s="390">
        <v>90</v>
      </c>
      <c r="I31" s="390">
        <v>10</v>
      </c>
      <c r="J31" s="386">
        <f>K31+L31+M31</f>
        <v>140</v>
      </c>
      <c r="K31" s="390">
        <v>30</v>
      </c>
      <c r="L31" s="390">
        <v>60</v>
      </c>
      <c r="M31" s="390">
        <v>50</v>
      </c>
      <c r="N31" s="386">
        <f>O31+P31+Q31</f>
        <v>206.8</v>
      </c>
      <c r="O31" s="390">
        <v>60</v>
      </c>
      <c r="P31" s="390">
        <v>60</v>
      </c>
      <c r="Q31" s="391">
        <v>86.8</v>
      </c>
      <c r="R31" s="386">
        <f t="shared" si="0"/>
        <v>566.79999999999995</v>
      </c>
      <c r="S31" s="150"/>
    </row>
    <row r="32" spans="1:21" ht="15" customHeight="1" x14ac:dyDescent="0.3">
      <c r="A32" s="400" t="s">
        <v>561</v>
      </c>
      <c r="B32" s="386">
        <f t="shared" ref="B32:B33" si="6">C32+D32+E32</f>
        <v>60</v>
      </c>
      <c r="C32" s="390">
        <v>50</v>
      </c>
      <c r="D32" s="390">
        <v>10</v>
      </c>
      <c r="E32" s="390"/>
      <c r="F32" s="386">
        <f t="shared" ref="F32:F33" si="7">G32+H32+I32</f>
        <v>100</v>
      </c>
      <c r="G32" s="390">
        <v>30</v>
      </c>
      <c r="H32" s="390">
        <v>60</v>
      </c>
      <c r="I32" s="390">
        <v>10</v>
      </c>
      <c r="J32" s="386">
        <f t="shared" ref="J32:J33" si="8">K32+L32+M32</f>
        <v>110</v>
      </c>
      <c r="K32" s="390">
        <v>30</v>
      </c>
      <c r="L32" s="390">
        <v>30</v>
      </c>
      <c r="M32" s="390">
        <v>50</v>
      </c>
      <c r="N32" s="386">
        <f t="shared" ref="N32:N33" si="9">O32+P32+Q32</f>
        <v>174.39999999999998</v>
      </c>
      <c r="O32" s="390">
        <v>27.6</v>
      </c>
      <c r="P32" s="390">
        <v>60</v>
      </c>
      <c r="Q32" s="391">
        <v>86.8</v>
      </c>
      <c r="R32" s="386">
        <f t="shared" si="0"/>
        <v>444.4</v>
      </c>
      <c r="S32" s="150"/>
    </row>
    <row r="33" spans="1:21" ht="16.5" customHeight="1" x14ac:dyDescent="0.3">
      <c r="A33" s="400" t="s">
        <v>562</v>
      </c>
      <c r="B33" s="386">
        <f t="shared" si="6"/>
        <v>30</v>
      </c>
      <c r="C33" s="390"/>
      <c r="D33" s="390"/>
      <c r="E33" s="390">
        <v>30</v>
      </c>
      <c r="F33" s="386">
        <f t="shared" si="7"/>
        <v>30</v>
      </c>
      <c r="G33" s="390"/>
      <c r="H33" s="390">
        <v>30</v>
      </c>
      <c r="I33" s="390"/>
      <c r="J33" s="386">
        <f t="shared" si="8"/>
        <v>30</v>
      </c>
      <c r="K33" s="390"/>
      <c r="L33" s="390">
        <v>30</v>
      </c>
      <c r="M33" s="390"/>
      <c r="N33" s="386">
        <f t="shared" si="9"/>
        <v>32.4</v>
      </c>
      <c r="O33" s="390">
        <v>32.4</v>
      </c>
      <c r="P33" s="390"/>
      <c r="Q33" s="391"/>
      <c r="R33" s="386">
        <f t="shared" si="0"/>
        <v>122.4</v>
      </c>
      <c r="S33" s="150"/>
    </row>
    <row r="34" spans="1:21" s="103" customFormat="1" ht="20.25" customHeight="1" x14ac:dyDescent="0.3">
      <c r="A34" s="397" t="s">
        <v>146</v>
      </c>
      <c r="B34" s="386">
        <f>B31+B30+B29+B28+B27+B26+B25+B24+B23</f>
        <v>1999</v>
      </c>
      <c r="C34" s="386">
        <f>C31+C30+C29+C28+C27+C26+C25+C24+C23</f>
        <v>529</v>
      </c>
      <c r="D34" s="386">
        <f t="shared" ref="D34:T34" si="10">D31+D30+D29+D28+D27+D26+D25+D24+D23</f>
        <v>670</v>
      </c>
      <c r="E34" s="386">
        <f t="shared" si="10"/>
        <v>800</v>
      </c>
      <c r="F34" s="386">
        <f t="shared" si="10"/>
        <v>3454</v>
      </c>
      <c r="G34" s="386">
        <f t="shared" si="10"/>
        <v>520</v>
      </c>
      <c r="H34" s="386">
        <f t="shared" si="10"/>
        <v>1894</v>
      </c>
      <c r="I34" s="386">
        <f t="shared" si="10"/>
        <v>1040</v>
      </c>
      <c r="J34" s="386">
        <f t="shared" si="10"/>
        <v>3560</v>
      </c>
      <c r="K34" s="386">
        <f t="shared" si="10"/>
        <v>950</v>
      </c>
      <c r="L34" s="386">
        <f t="shared" si="10"/>
        <v>1550</v>
      </c>
      <c r="M34" s="386">
        <f t="shared" si="10"/>
        <v>1060</v>
      </c>
      <c r="N34" s="386">
        <f t="shared" si="10"/>
        <v>4347.8999999999996</v>
      </c>
      <c r="O34" s="386">
        <f t="shared" si="10"/>
        <v>2180</v>
      </c>
      <c r="P34" s="386">
        <f t="shared" si="10"/>
        <v>550</v>
      </c>
      <c r="Q34" s="386">
        <f t="shared" si="10"/>
        <v>1617.9</v>
      </c>
      <c r="R34" s="386">
        <f t="shared" si="0"/>
        <v>13360.9</v>
      </c>
      <c r="S34" s="387">
        <f t="shared" si="10"/>
        <v>0</v>
      </c>
      <c r="T34" s="387">
        <f t="shared" si="10"/>
        <v>7214.7000000000007</v>
      </c>
      <c r="U34" s="398"/>
    </row>
    <row r="35" spans="1:21" s="93" customFormat="1" ht="20.25" customHeight="1" x14ac:dyDescent="0.3">
      <c r="A35" s="399" t="s">
        <v>248</v>
      </c>
      <c r="B35" s="386">
        <f>B34+B22</f>
        <v>71186.7</v>
      </c>
      <c r="C35" s="387">
        <f t="shared" ref="C35:Q35" si="11">C34+C22</f>
        <v>20368.900000000001</v>
      </c>
      <c r="D35" s="387">
        <f t="shared" si="11"/>
        <v>22891.4</v>
      </c>
      <c r="E35" s="387">
        <f t="shared" si="11"/>
        <v>27926.399999999998</v>
      </c>
      <c r="F35" s="386">
        <f t="shared" si="11"/>
        <v>78612.800000000003</v>
      </c>
      <c r="G35" s="387">
        <f t="shared" si="11"/>
        <v>25099.3</v>
      </c>
      <c r="H35" s="387">
        <f t="shared" si="11"/>
        <v>28877</v>
      </c>
      <c r="I35" s="387">
        <f t="shared" si="11"/>
        <v>24636.5</v>
      </c>
      <c r="J35" s="386">
        <f t="shared" si="11"/>
        <v>83991.8</v>
      </c>
      <c r="K35" s="387">
        <f t="shared" si="11"/>
        <v>32759.7</v>
      </c>
      <c r="L35" s="387">
        <f t="shared" si="11"/>
        <v>24626.2</v>
      </c>
      <c r="M35" s="387">
        <f t="shared" si="11"/>
        <v>26605.899999999998</v>
      </c>
      <c r="N35" s="386">
        <f t="shared" si="11"/>
        <v>123160.7</v>
      </c>
      <c r="O35" s="387">
        <f t="shared" si="11"/>
        <v>34947.300000000003</v>
      </c>
      <c r="P35" s="387">
        <f t="shared" si="11"/>
        <v>41391.600000000006</v>
      </c>
      <c r="Q35" s="387">
        <f t="shared" si="11"/>
        <v>46821.8</v>
      </c>
      <c r="R35" s="386">
        <f t="shared" si="0"/>
        <v>356952</v>
      </c>
      <c r="S35" s="144"/>
      <c r="T35" s="159" t="e">
        <f>T22+T34</f>
        <v>#REF!</v>
      </c>
      <c r="U35" s="158"/>
    </row>
    <row r="36" spans="1:21" ht="20.25" customHeight="1" x14ac:dyDescent="0.2"/>
    <row r="37" spans="1:21" ht="12.75" hidden="1" customHeight="1" x14ac:dyDescent="0.2"/>
    <row r="38" spans="1:21" ht="20.25" customHeight="1" x14ac:dyDescent="0.2"/>
    <row r="39" spans="1:21" ht="20.25" customHeight="1" x14ac:dyDescent="0.2"/>
    <row r="40" spans="1:21" ht="21.75" customHeight="1" x14ac:dyDescent="0.2"/>
    <row r="41" spans="1:21" ht="12.75" hidden="1" customHeight="1" x14ac:dyDescent="0.2"/>
    <row r="42" spans="1:21" ht="32.25" customHeight="1" x14ac:dyDescent="0.2"/>
    <row r="43" spans="1:21" ht="30.75" customHeight="1" x14ac:dyDescent="0.2"/>
    <row r="44" spans="1:21" ht="20.25" customHeight="1" x14ac:dyDescent="0.2"/>
    <row r="45" spans="1:21" ht="29.25" customHeight="1" x14ac:dyDescent="0.2"/>
    <row r="46" spans="1:21" ht="21" customHeight="1" x14ac:dyDescent="0.2"/>
    <row r="47" spans="1:21" ht="12.75" hidden="1" customHeight="1" x14ac:dyDescent="0.2"/>
    <row r="50" ht="49.5" customHeight="1" x14ac:dyDescent="0.2"/>
    <row r="51" ht="33" customHeight="1" x14ac:dyDescent="0.2"/>
    <row r="52" ht="12.75" hidden="1" customHeight="1" x14ac:dyDescent="0.2"/>
    <row r="53" ht="12.75" hidden="1" customHeight="1" x14ac:dyDescent="0.2"/>
    <row r="55" ht="30" customHeight="1" x14ac:dyDescent="0.2"/>
  </sheetData>
  <pageMargins left="0.11811023622047245" right="0.11811023622047245" top="0.55118110236220474" bottom="0.15748031496062992" header="0.31496062992125984" footer="0.31496062992125984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workbookViewId="0">
      <selection activeCell="P26" sqref="P26"/>
    </sheetView>
  </sheetViews>
  <sheetFormatPr defaultRowHeight="12.75" x14ac:dyDescent="0.2"/>
  <cols>
    <col min="1" max="1" width="24.7109375" customWidth="1"/>
    <col min="2" max="3" width="9.28515625" hidden="1" customWidth="1"/>
    <col min="4" max="5" width="9.5703125" hidden="1" customWidth="1"/>
    <col min="6" max="6" width="9.28515625" hidden="1" customWidth="1"/>
    <col min="7" max="8" width="9.5703125" hidden="1" customWidth="1"/>
    <col min="9" max="14" width="12.85546875" bestFit="1" customWidth="1"/>
    <col min="15" max="15" width="12.5703125" customWidth="1"/>
    <col min="16" max="16" width="12.28515625" customWidth="1"/>
  </cols>
  <sheetData>
    <row r="1" spans="1:16" x14ac:dyDescent="0.2">
      <c r="A1" s="633" t="s">
        <v>206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</row>
    <row r="2" spans="1:16" x14ac:dyDescent="0.2">
      <c r="A2" s="107"/>
      <c r="B2" s="107"/>
      <c r="C2" s="107"/>
      <c r="D2" s="107"/>
      <c r="E2" s="107"/>
      <c r="F2" s="636" t="s">
        <v>207</v>
      </c>
      <c r="G2" s="637"/>
      <c r="H2" s="637"/>
      <c r="I2" s="637"/>
      <c r="J2" s="637"/>
      <c r="K2" s="637"/>
      <c r="L2" s="637"/>
      <c r="M2" s="205"/>
      <c r="N2" s="193"/>
      <c r="O2" s="32"/>
      <c r="P2" s="32"/>
    </row>
    <row r="3" spans="1:16" x14ac:dyDescent="0.2">
      <c r="A3" s="108" t="s">
        <v>208</v>
      </c>
      <c r="B3" s="109">
        <v>2010</v>
      </c>
      <c r="C3" s="109">
        <v>2011</v>
      </c>
      <c r="D3" s="109">
        <v>2012</v>
      </c>
      <c r="E3" s="109">
        <v>2013</v>
      </c>
      <c r="F3" s="110">
        <v>2014</v>
      </c>
      <c r="G3" s="109">
        <v>2015</v>
      </c>
      <c r="H3" s="109">
        <v>2016</v>
      </c>
      <c r="I3" s="111">
        <v>2017</v>
      </c>
      <c r="J3" s="111">
        <v>2018</v>
      </c>
      <c r="K3" s="111">
        <v>2019</v>
      </c>
      <c r="L3" s="110">
        <v>2020</v>
      </c>
      <c r="M3" s="110">
        <v>2021</v>
      </c>
      <c r="N3" s="110">
        <v>2022</v>
      </c>
      <c r="O3" s="110">
        <v>2023</v>
      </c>
      <c r="P3" s="110">
        <v>2024</v>
      </c>
    </row>
    <row r="4" spans="1:16" x14ac:dyDescent="0.2">
      <c r="A4" s="207" t="s">
        <v>144</v>
      </c>
      <c r="B4" s="114">
        <v>409365.3</v>
      </c>
      <c r="C4" s="116">
        <v>462076</v>
      </c>
      <c r="D4" s="114">
        <v>476264.5</v>
      </c>
      <c r="E4" s="114">
        <v>530109.80000000005</v>
      </c>
      <c r="F4" s="114">
        <v>538219.4</v>
      </c>
      <c r="G4" s="114">
        <v>614745.30000000005</v>
      </c>
      <c r="H4" s="114">
        <v>534560.19999999995</v>
      </c>
      <c r="I4" s="443">
        <v>567642.19999999995</v>
      </c>
      <c r="J4" s="443">
        <v>620369.1</v>
      </c>
      <c r="K4" s="443">
        <v>669269.80000000005</v>
      </c>
      <c r="L4" s="443">
        <v>736817.8</v>
      </c>
      <c r="M4" s="443">
        <v>766017.3</v>
      </c>
      <c r="N4" s="443">
        <v>958695.4</v>
      </c>
      <c r="O4" s="443">
        <v>1481025.5</v>
      </c>
      <c r="P4" s="443">
        <v>1292174.3</v>
      </c>
    </row>
    <row r="5" spans="1:16" x14ac:dyDescent="0.2">
      <c r="A5" s="207" t="s">
        <v>204</v>
      </c>
      <c r="B5" s="114"/>
      <c r="C5" s="116"/>
      <c r="D5" s="114"/>
      <c r="E5" s="114"/>
      <c r="F5" s="114"/>
      <c r="G5" s="114"/>
      <c r="H5" s="114"/>
      <c r="I5" s="443">
        <v>227532</v>
      </c>
      <c r="J5" s="443">
        <v>238367.8</v>
      </c>
      <c r="K5" s="443">
        <v>250912.6</v>
      </c>
      <c r="L5" s="443">
        <v>212541.8</v>
      </c>
      <c r="M5" s="443">
        <v>216489.2</v>
      </c>
      <c r="N5" s="443">
        <v>258762.7</v>
      </c>
      <c r="O5" s="443">
        <v>301998.7</v>
      </c>
      <c r="P5" s="443">
        <v>392507</v>
      </c>
    </row>
    <row r="6" spans="1:16" ht="25.5" x14ac:dyDescent="0.2">
      <c r="A6" s="212" t="s">
        <v>318</v>
      </c>
      <c r="B6" s="114"/>
      <c r="C6" s="116"/>
      <c r="D6" s="114"/>
      <c r="E6" s="114"/>
      <c r="F6" s="114"/>
      <c r="G6" s="114"/>
      <c r="H6" s="114"/>
      <c r="I6" s="443">
        <f>I4-I5</f>
        <v>340110.19999999995</v>
      </c>
      <c r="J6" s="443">
        <f t="shared" ref="J6:P6" si="0">J4-J5</f>
        <v>382001.3</v>
      </c>
      <c r="K6" s="443">
        <f t="shared" si="0"/>
        <v>418357.20000000007</v>
      </c>
      <c r="L6" s="443">
        <f t="shared" si="0"/>
        <v>524276.00000000006</v>
      </c>
      <c r="M6" s="443">
        <f t="shared" si="0"/>
        <v>549528.10000000009</v>
      </c>
      <c r="N6" s="443">
        <f>N4-N5</f>
        <v>699932.7</v>
      </c>
      <c r="O6" s="443">
        <f t="shared" si="0"/>
        <v>1179026.8</v>
      </c>
      <c r="P6" s="443">
        <f t="shared" si="0"/>
        <v>899667.3</v>
      </c>
    </row>
    <row r="7" spans="1:16" ht="51" x14ac:dyDescent="0.2">
      <c r="A7" s="212" t="s">
        <v>319</v>
      </c>
      <c r="B7" s="114"/>
      <c r="C7" s="116"/>
      <c r="D7" s="114"/>
      <c r="E7" s="114"/>
      <c r="F7" s="114"/>
      <c r="G7" s="114"/>
      <c r="H7" s="114"/>
      <c r="I7" s="443">
        <v>74680.899999999994</v>
      </c>
      <c r="J7" s="443">
        <v>94028.9</v>
      </c>
      <c r="K7" s="443">
        <v>98328.3</v>
      </c>
      <c r="L7" s="443">
        <v>98008.7</v>
      </c>
      <c r="M7" s="443">
        <v>111038.1</v>
      </c>
      <c r="N7" s="443"/>
      <c r="O7" s="443"/>
      <c r="P7" s="443"/>
    </row>
    <row r="8" spans="1:16" ht="38.25" x14ac:dyDescent="0.2">
      <c r="A8" s="212" t="s">
        <v>320</v>
      </c>
      <c r="B8" s="114"/>
      <c r="C8" s="116"/>
      <c r="D8" s="114"/>
      <c r="E8" s="114"/>
      <c r="F8" s="114"/>
      <c r="G8" s="114"/>
      <c r="H8" s="114"/>
      <c r="I8" s="443">
        <f>I7/I6*100</f>
        <v>21.957853660372432</v>
      </c>
      <c r="J8" s="443">
        <f t="shared" ref="J8:N8" si="1">J7/J6*100</f>
        <v>24.61481152027493</v>
      </c>
      <c r="K8" s="443">
        <f t="shared" si="1"/>
        <v>23.503431995433562</v>
      </c>
      <c r="L8" s="443">
        <f t="shared" si="1"/>
        <v>18.694103868954517</v>
      </c>
      <c r="M8" s="443">
        <f t="shared" si="1"/>
        <v>20.206082273135802</v>
      </c>
      <c r="N8" s="443">
        <f t="shared" si="1"/>
        <v>0</v>
      </c>
      <c r="O8" s="443"/>
      <c r="P8" s="443"/>
    </row>
    <row r="9" spans="1:16" ht="25.5" x14ac:dyDescent="0.2">
      <c r="A9" s="208" t="s">
        <v>303</v>
      </c>
      <c r="B9" s="116">
        <v>107258.3</v>
      </c>
      <c r="C9" s="116">
        <v>107728.1</v>
      </c>
      <c r="D9" s="116">
        <v>112908.4</v>
      </c>
      <c r="E9" s="116">
        <v>144916.1</v>
      </c>
      <c r="F9" s="116">
        <v>105286</v>
      </c>
      <c r="G9" s="116">
        <v>154588.5</v>
      </c>
      <c r="H9" s="116">
        <v>168063.6</v>
      </c>
      <c r="I9" s="441">
        <v>172672</v>
      </c>
      <c r="J9" s="441">
        <v>202266.7</v>
      </c>
      <c r="K9" s="441">
        <v>212483.7</v>
      </c>
      <c r="L9" s="441">
        <v>225919.8</v>
      </c>
      <c r="M9" s="441">
        <v>246233.2</v>
      </c>
      <c r="N9" s="441">
        <v>283154.3</v>
      </c>
      <c r="O9" s="442">
        <v>273683.7</v>
      </c>
      <c r="P9" s="442">
        <v>337946.7</v>
      </c>
    </row>
    <row r="10" spans="1:16" x14ac:dyDescent="0.2">
      <c r="A10" s="211" t="s">
        <v>317</v>
      </c>
      <c r="B10" s="206"/>
      <c r="C10" s="206"/>
      <c r="D10" s="206"/>
      <c r="E10" s="206"/>
      <c r="F10" s="206"/>
      <c r="G10" s="206"/>
      <c r="H10" s="206"/>
      <c r="I10" s="443">
        <v>18492</v>
      </c>
      <c r="J10" s="443">
        <v>18262</v>
      </c>
      <c r="K10" s="443">
        <v>18025</v>
      </c>
      <c r="L10" s="443">
        <v>17666</v>
      </c>
      <c r="M10" s="443">
        <v>17275</v>
      </c>
      <c r="N10" s="443">
        <v>16700</v>
      </c>
      <c r="O10" s="442"/>
      <c r="P10" s="442"/>
    </row>
    <row r="11" spans="1:16" ht="25.5" x14ac:dyDescent="0.2">
      <c r="A11" s="208" t="s">
        <v>316</v>
      </c>
      <c r="B11" s="116"/>
      <c r="C11" s="116"/>
      <c r="D11" s="116"/>
      <c r="E11" s="116"/>
      <c r="F11" s="116"/>
      <c r="G11" s="116"/>
      <c r="H11" s="116"/>
      <c r="I11" s="441">
        <f>I9/I10</f>
        <v>9.3376595284447337</v>
      </c>
      <c r="J11" s="441">
        <f t="shared" ref="J11:M11" si="2">J9/J10</f>
        <v>11.075824115649985</v>
      </c>
      <c r="K11" s="441">
        <f t="shared" si="2"/>
        <v>11.788277392510404</v>
      </c>
      <c r="L11" s="441">
        <f t="shared" si="2"/>
        <v>12.788395788520321</v>
      </c>
      <c r="M11" s="441">
        <f t="shared" si="2"/>
        <v>14.253730824891463</v>
      </c>
      <c r="N11" s="441">
        <f>N9/N10</f>
        <v>16.955347305389221</v>
      </c>
      <c r="O11" s="442"/>
      <c r="P11" s="442"/>
    </row>
    <row r="12" spans="1:16" x14ac:dyDescent="0.2">
      <c r="A12" s="115" t="s">
        <v>209</v>
      </c>
      <c r="B12" s="113">
        <v>96693.6</v>
      </c>
      <c r="C12" s="113">
        <v>93583.5</v>
      </c>
      <c r="D12" s="113">
        <v>100927.7</v>
      </c>
      <c r="E12" s="113">
        <v>117224</v>
      </c>
      <c r="F12" s="206">
        <v>93160.6</v>
      </c>
      <c r="G12" s="206">
        <v>142299.79999999999</v>
      </c>
      <c r="H12" s="206">
        <v>154059</v>
      </c>
      <c r="I12" s="443">
        <v>156424.79999999999</v>
      </c>
      <c r="J12" s="443">
        <v>182483.5</v>
      </c>
      <c r="K12" s="443">
        <v>197756.6</v>
      </c>
      <c r="L12" s="444">
        <v>207016.3</v>
      </c>
      <c r="M12" s="444">
        <v>230922.2</v>
      </c>
      <c r="N12" s="445">
        <v>266897.7</v>
      </c>
      <c r="O12" s="442">
        <v>254941.2</v>
      </c>
      <c r="P12" s="442">
        <v>320603</v>
      </c>
    </row>
    <row r="13" spans="1:16" x14ac:dyDescent="0.2">
      <c r="A13" s="112" t="s">
        <v>210</v>
      </c>
      <c r="B13" s="113">
        <v>77875.100000000006</v>
      </c>
      <c r="C13" s="113">
        <v>75988.800000000003</v>
      </c>
      <c r="D13" s="113">
        <v>82532.399999999994</v>
      </c>
      <c r="E13" s="113">
        <v>97808.3</v>
      </c>
      <c r="F13" s="206">
        <v>63657.599999999999</v>
      </c>
      <c r="G13" s="206">
        <v>103808.1</v>
      </c>
      <c r="H13" s="206">
        <v>109790.8</v>
      </c>
      <c r="I13" s="443">
        <v>119766.3</v>
      </c>
      <c r="J13" s="443">
        <v>132343.4</v>
      </c>
      <c r="K13" s="443">
        <v>139453.20000000001</v>
      </c>
      <c r="L13" s="443">
        <v>156033</v>
      </c>
      <c r="M13" s="443">
        <v>164912.5</v>
      </c>
      <c r="N13" s="442">
        <v>195059.7</v>
      </c>
      <c r="O13" s="442"/>
      <c r="P13" s="442"/>
    </row>
    <row r="14" spans="1:16" hidden="1" x14ac:dyDescent="0.2">
      <c r="A14" s="112" t="s">
        <v>211</v>
      </c>
      <c r="B14" s="113">
        <v>5048.2</v>
      </c>
      <c r="C14" s="113">
        <v>4366.3</v>
      </c>
      <c r="D14" s="113">
        <v>8133.5</v>
      </c>
      <c r="E14" s="113">
        <v>8836.9</v>
      </c>
      <c r="F14" s="206">
        <v>10154.299999999999</v>
      </c>
      <c r="G14" s="206">
        <v>13796.4</v>
      </c>
      <c r="H14" s="206">
        <v>17928.7</v>
      </c>
      <c r="I14" s="443">
        <v>9994</v>
      </c>
      <c r="J14" s="443">
        <v>21281.5</v>
      </c>
      <c r="K14" s="443">
        <v>26568</v>
      </c>
      <c r="L14" s="443">
        <v>26568</v>
      </c>
      <c r="M14" s="443">
        <v>26568</v>
      </c>
      <c r="N14" s="442"/>
      <c r="O14" s="442"/>
      <c r="P14" s="442"/>
    </row>
    <row r="15" spans="1:16" ht="25.5" hidden="1" x14ac:dyDescent="0.2">
      <c r="A15" s="117" t="s">
        <v>212</v>
      </c>
      <c r="B15" s="113">
        <v>2073.5</v>
      </c>
      <c r="C15" s="113">
        <v>558.4</v>
      </c>
      <c r="D15" s="113">
        <v>2860</v>
      </c>
      <c r="E15" s="113">
        <v>3096.3</v>
      </c>
      <c r="F15" s="206">
        <v>3675.7</v>
      </c>
      <c r="G15" s="206">
        <v>3982.9</v>
      </c>
      <c r="H15" s="206">
        <v>1330.5</v>
      </c>
      <c r="I15" s="443">
        <v>4152.2</v>
      </c>
      <c r="J15" s="443">
        <v>5128.6000000000004</v>
      </c>
      <c r="K15" s="443">
        <v>5841</v>
      </c>
      <c r="L15" s="443">
        <v>5841</v>
      </c>
      <c r="M15" s="443">
        <v>5841</v>
      </c>
      <c r="N15" s="442"/>
      <c r="O15" s="442"/>
      <c r="P15" s="442"/>
    </row>
    <row r="16" spans="1:16" hidden="1" x14ac:dyDescent="0.2">
      <c r="A16" s="112" t="s">
        <v>213</v>
      </c>
      <c r="B16" s="113">
        <f>B9-B13-B14-B15</f>
        <v>22261.499999999996</v>
      </c>
      <c r="C16" s="113">
        <f t="shared" ref="C16:L16" si="3">C9-C13-C14-C15</f>
        <v>26814.600000000002</v>
      </c>
      <c r="D16" s="113">
        <f t="shared" si="3"/>
        <v>19382.5</v>
      </c>
      <c r="E16" s="113">
        <f t="shared" si="3"/>
        <v>35174.6</v>
      </c>
      <c r="F16" s="206">
        <f t="shared" si="3"/>
        <v>27798.400000000001</v>
      </c>
      <c r="G16" s="206">
        <f t="shared" si="3"/>
        <v>33001.099999999991</v>
      </c>
      <c r="H16" s="206">
        <f t="shared" si="3"/>
        <v>39013.600000000006</v>
      </c>
      <c r="I16" s="443">
        <f t="shared" si="3"/>
        <v>38759.5</v>
      </c>
      <c r="J16" s="443">
        <f t="shared" si="3"/>
        <v>43513.200000000019</v>
      </c>
      <c r="K16" s="443">
        <f t="shared" si="3"/>
        <v>40621.5</v>
      </c>
      <c r="L16" s="443">
        <f t="shared" si="3"/>
        <v>37477.799999999988</v>
      </c>
      <c r="M16" s="443">
        <f t="shared" ref="M16" si="4">M9-M13-M14-M15</f>
        <v>48911.700000000012</v>
      </c>
      <c r="N16" s="442"/>
      <c r="O16" s="442"/>
      <c r="P16" s="442"/>
    </row>
    <row r="17" spans="1:16" x14ac:dyDescent="0.2">
      <c r="A17" s="112" t="s">
        <v>234</v>
      </c>
      <c r="B17" s="113"/>
      <c r="C17" s="113"/>
      <c r="D17" s="113"/>
      <c r="E17" s="113"/>
      <c r="F17" s="206"/>
      <c r="G17" s="206"/>
      <c r="H17" s="206"/>
      <c r="I17" s="443"/>
      <c r="J17" s="443"/>
      <c r="K17" s="443"/>
      <c r="L17" s="443">
        <v>4792.1000000000004</v>
      </c>
      <c r="M17" s="443">
        <v>9211.6</v>
      </c>
      <c r="N17" s="442">
        <v>12727.5</v>
      </c>
      <c r="O17" s="442"/>
      <c r="P17" s="442"/>
    </row>
    <row r="18" spans="1:16" x14ac:dyDescent="0.2">
      <c r="A18" s="112" t="s">
        <v>235</v>
      </c>
      <c r="B18" s="113"/>
      <c r="C18" s="113"/>
      <c r="D18" s="113"/>
      <c r="E18" s="113"/>
      <c r="F18" s="206"/>
      <c r="G18" s="206"/>
      <c r="H18" s="206"/>
      <c r="I18" s="443">
        <v>9154.5</v>
      </c>
      <c r="J18" s="443">
        <v>8961.6</v>
      </c>
      <c r="K18" s="443">
        <v>7630.7</v>
      </c>
      <c r="L18" s="443">
        <v>7238</v>
      </c>
      <c r="M18" s="443">
        <v>2148.4</v>
      </c>
      <c r="N18" s="442">
        <v>65</v>
      </c>
      <c r="O18" s="442"/>
      <c r="P18" s="442"/>
    </row>
    <row r="19" spans="1:16" x14ac:dyDescent="0.2">
      <c r="A19" s="112" t="s">
        <v>164</v>
      </c>
      <c r="B19" s="113"/>
      <c r="C19" s="113"/>
      <c r="D19" s="113"/>
      <c r="E19" s="113"/>
      <c r="F19" s="206"/>
      <c r="G19" s="206"/>
      <c r="H19" s="206"/>
      <c r="I19" s="443">
        <v>352.3</v>
      </c>
      <c r="J19" s="443">
        <v>702.1</v>
      </c>
      <c r="K19" s="443">
        <v>2013</v>
      </c>
      <c r="L19" s="443">
        <v>232</v>
      </c>
      <c r="M19" s="443">
        <v>258.39999999999998</v>
      </c>
      <c r="N19" s="442">
        <v>139.6</v>
      </c>
      <c r="O19" s="442"/>
      <c r="P19" s="442"/>
    </row>
    <row r="20" spans="1:16" x14ac:dyDescent="0.2">
      <c r="A20" s="112" t="s">
        <v>236</v>
      </c>
      <c r="B20" s="113"/>
      <c r="C20" s="113"/>
      <c r="D20" s="113"/>
      <c r="E20" s="113"/>
      <c r="F20" s="206"/>
      <c r="G20" s="206"/>
      <c r="H20" s="206"/>
      <c r="I20" s="443"/>
      <c r="J20" s="443"/>
      <c r="K20" s="443"/>
      <c r="L20" s="443">
        <v>89.4</v>
      </c>
      <c r="M20" s="443">
        <v>2749.1</v>
      </c>
      <c r="N20" s="442">
        <v>2371.4</v>
      </c>
      <c r="O20" s="442"/>
      <c r="P20" s="442"/>
    </row>
    <row r="21" spans="1:16" x14ac:dyDescent="0.2">
      <c r="A21" s="209" t="s">
        <v>299</v>
      </c>
      <c r="B21" s="210"/>
      <c r="C21" s="210"/>
      <c r="D21" s="210"/>
      <c r="E21" s="210"/>
      <c r="F21" s="210"/>
      <c r="G21" s="210"/>
      <c r="H21" s="210"/>
      <c r="I21" s="446">
        <v>96045.9</v>
      </c>
      <c r="J21" s="446">
        <v>126103.1</v>
      </c>
      <c r="K21" s="446">
        <v>140937.5</v>
      </c>
      <c r="L21" s="446">
        <v>194747.7</v>
      </c>
      <c r="M21" s="446">
        <v>182425.7</v>
      </c>
      <c r="N21" s="446">
        <v>196252.5</v>
      </c>
      <c r="O21" s="442">
        <v>218718.5</v>
      </c>
      <c r="P21" s="442">
        <v>272724.8</v>
      </c>
    </row>
    <row r="22" spans="1:16" x14ac:dyDescent="0.2">
      <c r="A22" s="209" t="s">
        <v>203</v>
      </c>
      <c r="B22" s="210"/>
      <c r="C22" s="210"/>
      <c r="D22" s="210"/>
      <c r="E22" s="210"/>
      <c r="F22" s="210"/>
      <c r="G22" s="210"/>
      <c r="H22" s="210"/>
      <c r="I22" s="446">
        <f>I24+I26+I28+I31+I32+I35</f>
        <v>66682.8</v>
      </c>
      <c r="J22" s="446">
        <f>SUM(J24:J35)</f>
        <v>43157.7</v>
      </c>
      <c r="K22" s="446">
        <f>SUM(K24:K35)</f>
        <v>46608.2</v>
      </c>
      <c r="L22" s="446">
        <f>SUM(L24:L35)</f>
        <v>96207.400000000009</v>
      </c>
      <c r="M22" s="446">
        <f>SUM(M24:M35)</f>
        <v>105616.79999999999</v>
      </c>
      <c r="N22" s="446">
        <v>181867.9</v>
      </c>
      <c r="O22" s="442">
        <v>658386.4</v>
      </c>
      <c r="P22" s="442">
        <v>244210.5</v>
      </c>
    </row>
    <row r="23" spans="1:16" x14ac:dyDescent="0.2">
      <c r="A23" s="209" t="s">
        <v>321</v>
      </c>
      <c r="B23" s="210"/>
      <c r="C23" s="210"/>
      <c r="D23" s="210"/>
      <c r="E23" s="210"/>
      <c r="F23" s="210"/>
      <c r="G23" s="210"/>
      <c r="H23" s="210"/>
      <c r="I23" s="446">
        <v>1127.3</v>
      </c>
      <c r="J23" s="446">
        <v>7109.3</v>
      </c>
      <c r="K23" s="446">
        <v>17174.3</v>
      </c>
      <c r="L23" s="446">
        <v>14655.2</v>
      </c>
      <c r="M23" s="446">
        <v>15655.3</v>
      </c>
      <c r="N23" s="446">
        <v>2573.6</v>
      </c>
      <c r="O23" s="442">
        <v>29698.799999999999</v>
      </c>
      <c r="P23" s="442">
        <v>46473</v>
      </c>
    </row>
    <row r="24" spans="1:16" ht="25.5" x14ac:dyDescent="0.2">
      <c r="A24" s="117" t="s">
        <v>304</v>
      </c>
      <c r="B24" s="113"/>
      <c r="C24" s="113"/>
      <c r="D24" s="113"/>
      <c r="E24" s="113"/>
      <c r="F24" s="206"/>
      <c r="G24" s="206"/>
      <c r="H24" s="206"/>
      <c r="I24" s="443">
        <v>10335</v>
      </c>
      <c r="J24" s="443">
        <v>1830.1</v>
      </c>
      <c r="K24" s="443">
        <v>6496.2</v>
      </c>
      <c r="L24" s="443"/>
      <c r="M24" s="443"/>
      <c r="N24" s="442"/>
      <c r="O24" s="442"/>
      <c r="P24" s="442"/>
    </row>
    <row r="25" spans="1:16" ht="25.5" x14ac:dyDescent="0.2">
      <c r="A25" s="117" t="s">
        <v>315</v>
      </c>
      <c r="B25" s="113"/>
      <c r="C25" s="113"/>
      <c r="D25" s="113"/>
      <c r="E25" s="113"/>
      <c r="F25" s="206"/>
      <c r="G25" s="206"/>
      <c r="H25" s="206"/>
      <c r="I25" s="443"/>
      <c r="J25" s="443"/>
      <c r="K25" s="443"/>
      <c r="L25" s="443"/>
      <c r="M25" s="443"/>
      <c r="N25" s="442"/>
      <c r="O25" s="442"/>
      <c r="P25" s="442"/>
    </row>
    <row r="26" spans="1:16" ht="76.5" x14ac:dyDescent="0.2">
      <c r="A26" s="117" t="s">
        <v>305</v>
      </c>
      <c r="B26" s="113"/>
      <c r="C26" s="113"/>
      <c r="D26" s="113"/>
      <c r="E26" s="113"/>
      <c r="F26" s="206"/>
      <c r="G26" s="206"/>
      <c r="H26" s="206"/>
      <c r="I26" s="443">
        <v>1966.5</v>
      </c>
      <c r="J26" s="443"/>
      <c r="K26" s="443"/>
      <c r="L26" s="443">
        <v>7077</v>
      </c>
      <c r="M26" s="443">
        <v>11304.3</v>
      </c>
      <c r="N26" s="442"/>
      <c r="O26" s="442"/>
      <c r="P26" s="442"/>
    </row>
    <row r="27" spans="1:16" ht="25.5" x14ac:dyDescent="0.2">
      <c r="A27" s="117" t="s">
        <v>312</v>
      </c>
      <c r="B27" s="113"/>
      <c r="C27" s="113"/>
      <c r="D27" s="113"/>
      <c r="E27" s="113"/>
      <c r="F27" s="206"/>
      <c r="G27" s="206"/>
      <c r="H27" s="206"/>
      <c r="I27" s="443"/>
      <c r="J27" s="443"/>
      <c r="K27" s="443">
        <v>496</v>
      </c>
      <c r="L27" s="443">
        <v>23293.3</v>
      </c>
      <c r="M27" s="443"/>
      <c r="N27" s="442"/>
      <c r="O27" s="442"/>
      <c r="P27" s="442"/>
    </row>
    <row r="28" spans="1:16" ht="25.5" x14ac:dyDescent="0.2">
      <c r="A28" s="117" t="s">
        <v>306</v>
      </c>
      <c r="B28" s="113"/>
      <c r="C28" s="113"/>
      <c r="D28" s="113"/>
      <c r="E28" s="113"/>
      <c r="F28" s="206"/>
      <c r="G28" s="206"/>
      <c r="H28" s="206"/>
      <c r="I28" s="443">
        <f>112.1+2317.6</f>
        <v>2429.6999999999998</v>
      </c>
      <c r="J28" s="443">
        <v>404</v>
      </c>
      <c r="K28" s="443"/>
      <c r="L28" s="443">
        <f>2808.3+94.7</f>
        <v>2903</v>
      </c>
      <c r="M28" s="443">
        <f>21552.1+729</f>
        <v>22281.1</v>
      </c>
      <c r="N28" s="442"/>
      <c r="O28" s="442"/>
      <c r="P28" s="442"/>
    </row>
    <row r="29" spans="1:16" ht="25.5" x14ac:dyDescent="0.2">
      <c r="A29" s="117" t="s">
        <v>311</v>
      </c>
      <c r="B29" s="113"/>
      <c r="C29" s="113"/>
      <c r="D29" s="113"/>
      <c r="E29" s="113"/>
      <c r="F29" s="206"/>
      <c r="G29" s="206"/>
      <c r="H29" s="206"/>
      <c r="I29" s="443"/>
      <c r="J29" s="443"/>
      <c r="K29" s="443">
        <v>479.7</v>
      </c>
      <c r="L29" s="443"/>
      <c r="M29" s="443">
        <v>918.6</v>
      </c>
      <c r="N29" s="442"/>
      <c r="O29" s="442"/>
      <c r="P29" s="442"/>
    </row>
    <row r="30" spans="1:16" ht="25.5" x14ac:dyDescent="0.2">
      <c r="A30" s="117" t="s">
        <v>313</v>
      </c>
      <c r="B30" s="113"/>
      <c r="C30" s="113"/>
      <c r="D30" s="113"/>
      <c r="E30" s="113"/>
      <c r="F30" s="206"/>
      <c r="G30" s="206"/>
      <c r="H30" s="206"/>
      <c r="I30" s="443"/>
      <c r="J30" s="443"/>
      <c r="K30" s="443"/>
      <c r="L30" s="443">
        <v>2674.5</v>
      </c>
      <c r="M30" s="443">
        <v>7095.5</v>
      </c>
      <c r="N30" s="442"/>
      <c r="O30" s="442"/>
      <c r="P30" s="442"/>
    </row>
    <row r="31" spans="1:16" ht="38.25" x14ac:dyDescent="0.2">
      <c r="A31" s="117" t="s">
        <v>307</v>
      </c>
      <c r="B31" s="113"/>
      <c r="C31" s="113"/>
      <c r="D31" s="113"/>
      <c r="E31" s="113"/>
      <c r="F31" s="206"/>
      <c r="G31" s="206"/>
      <c r="H31" s="206"/>
      <c r="I31" s="443">
        <v>1000</v>
      </c>
      <c r="J31" s="443">
        <v>1000</v>
      </c>
      <c r="K31" s="443">
        <f>1387.5</f>
        <v>1387.5</v>
      </c>
      <c r="L31" s="443"/>
      <c r="M31" s="443"/>
      <c r="N31" s="442"/>
      <c r="O31" s="442"/>
      <c r="P31" s="442"/>
    </row>
    <row r="32" spans="1:16" ht="51" x14ac:dyDescent="0.2">
      <c r="A32" s="117" t="s">
        <v>308</v>
      </c>
      <c r="B32" s="113"/>
      <c r="C32" s="113"/>
      <c r="D32" s="113"/>
      <c r="E32" s="113"/>
      <c r="F32" s="206"/>
      <c r="G32" s="206"/>
      <c r="H32" s="206"/>
      <c r="I32" s="443">
        <f>245.2+509.1</f>
        <v>754.3</v>
      </c>
      <c r="J32" s="443">
        <f>1387.5+136.1</f>
        <v>1523.6</v>
      </c>
      <c r="K32" s="443">
        <f>67.3</f>
        <v>67.3</v>
      </c>
      <c r="L32" s="443">
        <f>60+809.4</f>
        <v>869.4</v>
      </c>
      <c r="M32" s="443">
        <f>66.1+1429</f>
        <v>1495.1</v>
      </c>
      <c r="N32" s="442"/>
      <c r="O32" s="442"/>
      <c r="P32" s="442"/>
    </row>
    <row r="33" spans="1:16" ht="38.25" x14ac:dyDescent="0.2">
      <c r="A33" s="117" t="s">
        <v>310</v>
      </c>
      <c r="B33" s="113"/>
      <c r="C33" s="113"/>
      <c r="D33" s="113"/>
      <c r="E33" s="113"/>
      <c r="F33" s="206"/>
      <c r="G33" s="206"/>
      <c r="H33" s="206"/>
      <c r="I33" s="443"/>
      <c r="J33" s="443">
        <v>3255.9</v>
      </c>
      <c r="K33" s="443">
        <v>6470.7</v>
      </c>
      <c r="L33" s="443">
        <v>6033.3</v>
      </c>
      <c r="M33" s="443">
        <v>3406.4</v>
      </c>
      <c r="N33" s="442"/>
      <c r="O33" s="442"/>
      <c r="P33" s="442"/>
    </row>
    <row r="34" spans="1:16" ht="25.5" x14ac:dyDescent="0.2">
      <c r="A34" s="117" t="s">
        <v>314</v>
      </c>
      <c r="B34" s="113"/>
      <c r="C34" s="113"/>
      <c r="D34" s="113"/>
      <c r="E34" s="113"/>
      <c r="F34" s="206"/>
      <c r="G34" s="206"/>
      <c r="H34" s="206"/>
      <c r="I34" s="443"/>
      <c r="J34" s="443"/>
      <c r="K34" s="443"/>
      <c r="L34" s="443">
        <v>2000</v>
      </c>
      <c r="M34" s="443">
        <v>1994.5</v>
      </c>
      <c r="N34" s="442"/>
      <c r="O34" s="442"/>
      <c r="P34" s="442"/>
    </row>
    <row r="35" spans="1:16" ht="18.75" customHeight="1" x14ac:dyDescent="0.2">
      <c r="A35" s="117" t="s">
        <v>309</v>
      </c>
      <c r="B35" s="113"/>
      <c r="C35" s="113"/>
      <c r="D35" s="113"/>
      <c r="E35" s="113"/>
      <c r="F35" s="206"/>
      <c r="G35" s="206"/>
      <c r="H35" s="206"/>
      <c r="I35" s="447">
        <v>50197.3</v>
      </c>
      <c r="J35" s="447">
        <v>35144.1</v>
      </c>
      <c r="K35" s="447">
        <v>31210.799999999999</v>
      </c>
      <c r="L35" s="447">
        <v>51356.9</v>
      </c>
      <c r="M35" s="447">
        <v>57121.3</v>
      </c>
      <c r="N35" s="447">
        <v>31422.2</v>
      </c>
      <c r="O35" s="442"/>
      <c r="P35" s="442"/>
    </row>
  </sheetData>
  <mergeCells count="2">
    <mergeCell ref="A1:M1"/>
    <mergeCell ref="F2:L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24" sqref="E24"/>
    </sheetView>
  </sheetViews>
  <sheetFormatPr defaultRowHeight="12.75" x14ac:dyDescent="0.2"/>
  <cols>
    <col min="1" max="1" width="9.7109375" bestFit="1" customWidth="1"/>
    <col min="2" max="2" width="26.5703125" customWidth="1"/>
    <col min="3" max="3" width="13.85546875" customWidth="1"/>
    <col min="4" max="4" width="15.5703125" customWidth="1"/>
    <col min="5" max="5" width="17.85546875" customWidth="1"/>
  </cols>
  <sheetData>
    <row r="1" spans="1:5" ht="18.75" x14ac:dyDescent="0.3">
      <c r="A1" s="276"/>
      <c r="B1" s="271"/>
      <c r="C1" s="271">
        <v>2020</v>
      </c>
      <c r="D1" s="271">
        <v>2021</v>
      </c>
      <c r="E1" s="271">
        <v>2022</v>
      </c>
    </row>
    <row r="2" spans="1:5" ht="18.75" x14ac:dyDescent="0.3">
      <c r="A2" s="277">
        <v>1</v>
      </c>
      <c r="B2" s="278" t="s">
        <v>386</v>
      </c>
      <c r="C2" s="275">
        <f>C3+C4</f>
        <v>736817.8</v>
      </c>
      <c r="D2" s="275">
        <f>D3+D4</f>
        <v>766017.3</v>
      </c>
      <c r="E2" s="275">
        <f>E3+E4</f>
        <v>958695.39999999991</v>
      </c>
    </row>
    <row r="3" spans="1:5" ht="18.75" x14ac:dyDescent="0.3">
      <c r="A3" s="279" t="s">
        <v>389</v>
      </c>
      <c r="B3" s="278" t="s">
        <v>387</v>
      </c>
      <c r="C3" s="275">
        <v>225919.8</v>
      </c>
      <c r="D3" s="275">
        <v>246233.2</v>
      </c>
      <c r="E3" s="275">
        <v>283154.3</v>
      </c>
    </row>
    <row r="4" spans="1:5" ht="18.75" x14ac:dyDescent="0.3">
      <c r="A4" s="279" t="s">
        <v>390</v>
      </c>
      <c r="B4" s="278" t="s">
        <v>388</v>
      </c>
      <c r="C4" s="275">
        <v>510898</v>
      </c>
      <c r="D4" s="275">
        <v>519784.1</v>
      </c>
      <c r="E4" s="275">
        <v>675541.1</v>
      </c>
    </row>
    <row r="5" spans="1:5" ht="18.75" x14ac:dyDescent="0.3">
      <c r="A5" s="273" t="s">
        <v>394</v>
      </c>
      <c r="B5" s="271" t="s">
        <v>391</v>
      </c>
      <c r="C5" s="272">
        <v>194747.7</v>
      </c>
      <c r="D5" s="272">
        <v>182425.7</v>
      </c>
      <c r="E5" s="272">
        <v>196252.5</v>
      </c>
    </row>
    <row r="6" spans="1:5" ht="18.75" x14ac:dyDescent="0.3">
      <c r="A6" s="273" t="s">
        <v>395</v>
      </c>
      <c r="B6" s="271" t="s">
        <v>399</v>
      </c>
      <c r="C6" s="272">
        <v>96207.4</v>
      </c>
      <c r="D6" s="272">
        <v>105616.8</v>
      </c>
      <c r="E6" s="272">
        <v>181867.9</v>
      </c>
    </row>
    <row r="7" spans="1:5" ht="18.75" x14ac:dyDescent="0.3">
      <c r="A7" s="273" t="s">
        <v>396</v>
      </c>
      <c r="B7" s="271" t="s">
        <v>392</v>
      </c>
      <c r="C7" s="272">
        <v>212541.8</v>
      </c>
      <c r="D7" s="272">
        <v>216489.2</v>
      </c>
      <c r="E7" s="272">
        <v>258762.7</v>
      </c>
    </row>
    <row r="8" spans="1:5" ht="18.75" x14ac:dyDescent="0.3">
      <c r="A8" s="273" t="s">
        <v>397</v>
      </c>
      <c r="B8" s="271" t="s">
        <v>393</v>
      </c>
      <c r="C8" s="272">
        <v>14655.2</v>
      </c>
      <c r="D8" s="272">
        <v>15655.3</v>
      </c>
      <c r="E8" s="272">
        <v>45778.400000000001</v>
      </c>
    </row>
    <row r="9" spans="1:5" ht="37.5" x14ac:dyDescent="0.3">
      <c r="A9" s="273" t="s">
        <v>398</v>
      </c>
      <c r="B9" s="274" t="s">
        <v>402</v>
      </c>
      <c r="C9" s="272"/>
      <c r="D9" s="272"/>
      <c r="E9" s="272">
        <v>991.4</v>
      </c>
    </row>
    <row r="10" spans="1:5" ht="18.75" x14ac:dyDescent="0.3">
      <c r="A10" s="273" t="s">
        <v>400</v>
      </c>
      <c r="B10" s="271" t="s">
        <v>403</v>
      </c>
      <c r="C10" s="272">
        <f>-8717.1+4.2</f>
        <v>-8712.9</v>
      </c>
      <c r="D10" s="272">
        <f>-2187.4+1184.4</f>
        <v>-1003</v>
      </c>
      <c r="E10" s="272">
        <f>-10205.3+2093.5</f>
        <v>-8111.7999999999993</v>
      </c>
    </row>
    <row r="11" spans="1:5" ht="18.75" x14ac:dyDescent="0.3">
      <c r="A11" s="273" t="s">
        <v>401</v>
      </c>
      <c r="B11" s="271" t="s">
        <v>408</v>
      </c>
      <c r="C11" s="272">
        <f>904.5+554.3</f>
        <v>1458.8</v>
      </c>
      <c r="D11" s="272">
        <f>477.6+122.5</f>
        <v>600.1</v>
      </c>
      <c r="E11" s="272">
        <v>0</v>
      </c>
    </row>
    <row r="12" spans="1:5" ht="37.5" x14ac:dyDescent="0.3">
      <c r="A12" s="279" t="s">
        <v>404</v>
      </c>
      <c r="B12" s="280" t="s">
        <v>405</v>
      </c>
      <c r="C12" s="275">
        <v>127911.2</v>
      </c>
      <c r="D12" s="275">
        <v>135195</v>
      </c>
      <c r="E12" s="275">
        <v>159674.5</v>
      </c>
    </row>
    <row r="13" spans="1:5" ht="56.25" x14ac:dyDescent="0.3">
      <c r="A13" s="279" t="s">
        <v>406</v>
      </c>
      <c r="B13" s="280" t="s">
        <v>407</v>
      </c>
      <c r="C13" s="281">
        <f>(C5+C12)/(C2-C7)*100</f>
        <v>61.543709801707493</v>
      </c>
      <c r="D13" s="281">
        <f>(D5+D12)/(D2-D7)*100</f>
        <v>57.798809560421013</v>
      </c>
      <c r="E13" s="281">
        <f>(E5+E12)/(E2-E7)*100</f>
        <v>50.851603304146245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53"/>
  <sheetViews>
    <sheetView topLeftCell="B1" zoomScale="75" zoomScaleNormal="75" workbookViewId="0">
      <pane xSplit="35" ySplit="3" topLeftCell="AK4" activePane="bottomRight" state="frozen"/>
      <selection activeCell="B1" sqref="B1"/>
      <selection pane="topRight" activeCell="AK1" sqref="AK1"/>
      <selection pane="bottomLeft" activeCell="B4" sqref="B4"/>
      <selection pane="bottomRight" activeCell="F27" sqref="F27"/>
    </sheetView>
  </sheetViews>
  <sheetFormatPr defaultRowHeight="12.75" customHeight="1" outlineLevelRow="7" x14ac:dyDescent="0.2"/>
  <cols>
    <col min="1" max="1" width="25.7109375" customWidth="1"/>
    <col min="2" max="2" width="30.7109375" customWidth="1"/>
    <col min="3" max="3" width="16.28515625" customWidth="1"/>
    <col min="4" max="4" width="17.42578125" customWidth="1"/>
    <col min="5" max="5" width="15.42578125" customWidth="1"/>
    <col min="6" max="7" width="17.7109375" customWidth="1"/>
    <col min="8" max="8" width="13.140625" customWidth="1"/>
    <col min="9" max="11" width="9.140625" customWidth="1"/>
    <col min="257" max="257" width="25.7109375" customWidth="1"/>
    <col min="258" max="258" width="30.7109375" customWidth="1"/>
    <col min="259" max="262" width="15.42578125" customWidth="1"/>
    <col min="263" max="263" width="9.140625" customWidth="1"/>
    <col min="264" max="264" width="13.140625" customWidth="1"/>
    <col min="265" max="267" width="9.140625" customWidth="1"/>
    <col min="513" max="513" width="25.7109375" customWidth="1"/>
    <col min="514" max="514" width="30.7109375" customWidth="1"/>
    <col min="515" max="518" width="15.42578125" customWidth="1"/>
    <col min="519" max="519" width="9.140625" customWidth="1"/>
    <col min="520" max="520" width="13.140625" customWidth="1"/>
    <col min="521" max="523" width="9.140625" customWidth="1"/>
    <col min="769" max="769" width="25.7109375" customWidth="1"/>
    <col min="770" max="770" width="30.7109375" customWidth="1"/>
    <col min="771" max="774" width="15.42578125" customWidth="1"/>
    <col min="775" max="775" width="9.140625" customWidth="1"/>
    <col min="776" max="776" width="13.140625" customWidth="1"/>
    <col min="777" max="779" width="9.140625" customWidth="1"/>
    <col min="1025" max="1025" width="25.7109375" customWidth="1"/>
    <col min="1026" max="1026" width="30.7109375" customWidth="1"/>
    <col min="1027" max="1030" width="15.42578125" customWidth="1"/>
    <col min="1031" max="1031" width="9.140625" customWidth="1"/>
    <col min="1032" max="1032" width="13.140625" customWidth="1"/>
    <col min="1033" max="1035" width="9.140625" customWidth="1"/>
    <col min="1281" max="1281" width="25.7109375" customWidth="1"/>
    <col min="1282" max="1282" width="30.7109375" customWidth="1"/>
    <col min="1283" max="1286" width="15.42578125" customWidth="1"/>
    <col min="1287" max="1287" width="9.140625" customWidth="1"/>
    <col min="1288" max="1288" width="13.140625" customWidth="1"/>
    <col min="1289" max="1291" width="9.140625" customWidth="1"/>
    <col min="1537" max="1537" width="25.7109375" customWidth="1"/>
    <col min="1538" max="1538" width="30.7109375" customWidth="1"/>
    <col min="1539" max="1542" width="15.42578125" customWidth="1"/>
    <col min="1543" max="1543" width="9.140625" customWidth="1"/>
    <col min="1544" max="1544" width="13.140625" customWidth="1"/>
    <col min="1545" max="1547" width="9.140625" customWidth="1"/>
    <col min="1793" max="1793" width="25.7109375" customWidth="1"/>
    <col min="1794" max="1794" width="30.7109375" customWidth="1"/>
    <col min="1795" max="1798" width="15.42578125" customWidth="1"/>
    <col min="1799" max="1799" width="9.140625" customWidth="1"/>
    <col min="1800" max="1800" width="13.140625" customWidth="1"/>
    <col min="1801" max="1803" width="9.140625" customWidth="1"/>
    <col min="2049" max="2049" width="25.7109375" customWidth="1"/>
    <col min="2050" max="2050" width="30.7109375" customWidth="1"/>
    <col min="2051" max="2054" width="15.42578125" customWidth="1"/>
    <col min="2055" max="2055" width="9.140625" customWidth="1"/>
    <col min="2056" max="2056" width="13.140625" customWidth="1"/>
    <col min="2057" max="2059" width="9.140625" customWidth="1"/>
    <col min="2305" max="2305" width="25.7109375" customWidth="1"/>
    <col min="2306" max="2306" width="30.7109375" customWidth="1"/>
    <col min="2307" max="2310" width="15.42578125" customWidth="1"/>
    <col min="2311" max="2311" width="9.140625" customWidth="1"/>
    <col min="2312" max="2312" width="13.140625" customWidth="1"/>
    <col min="2313" max="2315" width="9.140625" customWidth="1"/>
    <col min="2561" max="2561" width="25.7109375" customWidth="1"/>
    <col min="2562" max="2562" width="30.7109375" customWidth="1"/>
    <col min="2563" max="2566" width="15.42578125" customWidth="1"/>
    <col min="2567" max="2567" width="9.140625" customWidth="1"/>
    <col min="2568" max="2568" width="13.140625" customWidth="1"/>
    <col min="2569" max="2571" width="9.140625" customWidth="1"/>
    <col min="2817" max="2817" width="25.7109375" customWidth="1"/>
    <col min="2818" max="2818" width="30.7109375" customWidth="1"/>
    <col min="2819" max="2822" width="15.42578125" customWidth="1"/>
    <col min="2823" max="2823" width="9.140625" customWidth="1"/>
    <col min="2824" max="2824" width="13.140625" customWidth="1"/>
    <col min="2825" max="2827" width="9.140625" customWidth="1"/>
    <col min="3073" max="3073" width="25.7109375" customWidth="1"/>
    <col min="3074" max="3074" width="30.7109375" customWidth="1"/>
    <col min="3075" max="3078" width="15.42578125" customWidth="1"/>
    <col min="3079" max="3079" width="9.140625" customWidth="1"/>
    <col min="3080" max="3080" width="13.140625" customWidth="1"/>
    <col min="3081" max="3083" width="9.140625" customWidth="1"/>
    <col min="3329" max="3329" width="25.7109375" customWidth="1"/>
    <col min="3330" max="3330" width="30.7109375" customWidth="1"/>
    <col min="3331" max="3334" width="15.42578125" customWidth="1"/>
    <col min="3335" max="3335" width="9.140625" customWidth="1"/>
    <col min="3336" max="3336" width="13.140625" customWidth="1"/>
    <col min="3337" max="3339" width="9.140625" customWidth="1"/>
    <col min="3585" max="3585" width="25.7109375" customWidth="1"/>
    <col min="3586" max="3586" width="30.7109375" customWidth="1"/>
    <col min="3587" max="3590" width="15.42578125" customWidth="1"/>
    <col min="3591" max="3591" width="9.140625" customWidth="1"/>
    <col min="3592" max="3592" width="13.140625" customWidth="1"/>
    <col min="3593" max="3595" width="9.140625" customWidth="1"/>
    <col min="3841" max="3841" width="25.7109375" customWidth="1"/>
    <col min="3842" max="3842" width="30.7109375" customWidth="1"/>
    <col min="3843" max="3846" width="15.42578125" customWidth="1"/>
    <col min="3847" max="3847" width="9.140625" customWidth="1"/>
    <col min="3848" max="3848" width="13.140625" customWidth="1"/>
    <col min="3849" max="3851" width="9.140625" customWidth="1"/>
    <col min="4097" max="4097" width="25.7109375" customWidth="1"/>
    <col min="4098" max="4098" width="30.7109375" customWidth="1"/>
    <col min="4099" max="4102" width="15.42578125" customWidth="1"/>
    <col min="4103" max="4103" width="9.140625" customWidth="1"/>
    <col min="4104" max="4104" width="13.140625" customWidth="1"/>
    <col min="4105" max="4107" width="9.140625" customWidth="1"/>
    <col min="4353" max="4353" width="25.7109375" customWidth="1"/>
    <col min="4354" max="4354" width="30.7109375" customWidth="1"/>
    <col min="4355" max="4358" width="15.42578125" customWidth="1"/>
    <col min="4359" max="4359" width="9.140625" customWidth="1"/>
    <col min="4360" max="4360" width="13.140625" customWidth="1"/>
    <col min="4361" max="4363" width="9.140625" customWidth="1"/>
    <col min="4609" max="4609" width="25.7109375" customWidth="1"/>
    <col min="4610" max="4610" width="30.7109375" customWidth="1"/>
    <col min="4611" max="4614" width="15.42578125" customWidth="1"/>
    <col min="4615" max="4615" width="9.140625" customWidth="1"/>
    <col min="4616" max="4616" width="13.140625" customWidth="1"/>
    <col min="4617" max="4619" width="9.140625" customWidth="1"/>
    <col min="4865" max="4865" width="25.7109375" customWidth="1"/>
    <col min="4866" max="4866" width="30.7109375" customWidth="1"/>
    <col min="4867" max="4870" width="15.42578125" customWidth="1"/>
    <col min="4871" max="4871" width="9.140625" customWidth="1"/>
    <col min="4872" max="4872" width="13.140625" customWidth="1"/>
    <col min="4873" max="4875" width="9.140625" customWidth="1"/>
    <col min="5121" max="5121" width="25.7109375" customWidth="1"/>
    <col min="5122" max="5122" width="30.7109375" customWidth="1"/>
    <col min="5123" max="5126" width="15.42578125" customWidth="1"/>
    <col min="5127" max="5127" width="9.140625" customWidth="1"/>
    <col min="5128" max="5128" width="13.140625" customWidth="1"/>
    <col min="5129" max="5131" width="9.140625" customWidth="1"/>
    <col min="5377" max="5377" width="25.7109375" customWidth="1"/>
    <col min="5378" max="5378" width="30.7109375" customWidth="1"/>
    <col min="5379" max="5382" width="15.42578125" customWidth="1"/>
    <col min="5383" max="5383" width="9.140625" customWidth="1"/>
    <col min="5384" max="5384" width="13.140625" customWidth="1"/>
    <col min="5385" max="5387" width="9.140625" customWidth="1"/>
    <col min="5633" max="5633" width="25.7109375" customWidth="1"/>
    <col min="5634" max="5634" width="30.7109375" customWidth="1"/>
    <col min="5635" max="5638" width="15.42578125" customWidth="1"/>
    <col min="5639" max="5639" width="9.140625" customWidth="1"/>
    <col min="5640" max="5640" width="13.140625" customWidth="1"/>
    <col min="5641" max="5643" width="9.140625" customWidth="1"/>
    <col min="5889" max="5889" width="25.7109375" customWidth="1"/>
    <col min="5890" max="5890" width="30.7109375" customWidth="1"/>
    <col min="5891" max="5894" width="15.42578125" customWidth="1"/>
    <col min="5895" max="5895" width="9.140625" customWidth="1"/>
    <col min="5896" max="5896" width="13.140625" customWidth="1"/>
    <col min="5897" max="5899" width="9.140625" customWidth="1"/>
    <col min="6145" max="6145" width="25.7109375" customWidth="1"/>
    <col min="6146" max="6146" width="30.7109375" customWidth="1"/>
    <col min="6147" max="6150" width="15.42578125" customWidth="1"/>
    <col min="6151" max="6151" width="9.140625" customWidth="1"/>
    <col min="6152" max="6152" width="13.140625" customWidth="1"/>
    <col min="6153" max="6155" width="9.140625" customWidth="1"/>
    <col min="6401" max="6401" width="25.7109375" customWidth="1"/>
    <col min="6402" max="6402" width="30.7109375" customWidth="1"/>
    <col min="6403" max="6406" width="15.42578125" customWidth="1"/>
    <col min="6407" max="6407" width="9.140625" customWidth="1"/>
    <col min="6408" max="6408" width="13.140625" customWidth="1"/>
    <col min="6409" max="6411" width="9.140625" customWidth="1"/>
    <col min="6657" max="6657" width="25.7109375" customWidth="1"/>
    <col min="6658" max="6658" width="30.7109375" customWidth="1"/>
    <col min="6659" max="6662" width="15.42578125" customWidth="1"/>
    <col min="6663" max="6663" width="9.140625" customWidth="1"/>
    <col min="6664" max="6664" width="13.140625" customWidth="1"/>
    <col min="6665" max="6667" width="9.140625" customWidth="1"/>
    <col min="6913" max="6913" width="25.7109375" customWidth="1"/>
    <col min="6914" max="6914" width="30.7109375" customWidth="1"/>
    <col min="6915" max="6918" width="15.42578125" customWidth="1"/>
    <col min="6919" max="6919" width="9.140625" customWidth="1"/>
    <col min="6920" max="6920" width="13.140625" customWidth="1"/>
    <col min="6921" max="6923" width="9.140625" customWidth="1"/>
    <col min="7169" max="7169" width="25.7109375" customWidth="1"/>
    <col min="7170" max="7170" width="30.7109375" customWidth="1"/>
    <col min="7171" max="7174" width="15.42578125" customWidth="1"/>
    <col min="7175" max="7175" width="9.140625" customWidth="1"/>
    <col min="7176" max="7176" width="13.140625" customWidth="1"/>
    <col min="7177" max="7179" width="9.140625" customWidth="1"/>
    <col min="7425" max="7425" width="25.7109375" customWidth="1"/>
    <col min="7426" max="7426" width="30.7109375" customWidth="1"/>
    <col min="7427" max="7430" width="15.42578125" customWidth="1"/>
    <col min="7431" max="7431" width="9.140625" customWidth="1"/>
    <col min="7432" max="7432" width="13.140625" customWidth="1"/>
    <col min="7433" max="7435" width="9.140625" customWidth="1"/>
    <col min="7681" max="7681" width="25.7109375" customWidth="1"/>
    <col min="7682" max="7682" width="30.7109375" customWidth="1"/>
    <col min="7683" max="7686" width="15.42578125" customWidth="1"/>
    <col min="7687" max="7687" width="9.140625" customWidth="1"/>
    <col min="7688" max="7688" width="13.140625" customWidth="1"/>
    <col min="7689" max="7691" width="9.140625" customWidth="1"/>
    <col min="7937" max="7937" width="25.7109375" customWidth="1"/>
    <col min="7938" max="7938" width="30.7109375" customWidth="1"/>
    <col min="7939" max="7942" width="15.42578125" customWidth="1"/>
    <col min="7943" max="7943" width="9.140625" customWidth="1"/>
    <col min="7944" max="7944" width="13.140625" customWidth="1"/>
    <col min="7945" max="7947" width="9.140625" customWidth="1"/>
    <col min="8193" max="8193" width="25.7109375" customWidth="1"/>
    <col min="8194" max="8194" width="30.7109375" customWidth="1"/>
    <col min="8195" max="8198" width="15.42578125" customWidth="1"/>
    <col min="8199" max="8199" width="9.140625" customWidth="1"/>
    <col min="8200" max="8200" width="13.140625" customWidth="1"/>
    <col min="8201" max="8203" width="9.140625" customWidth="1"/>
    <col min="8449" max="8449" width="25.7109375" customWidth="1"/>
    <col min="8450" max="8450" width="30.7109375" customWidth="1"/>
    <col min="8451" max="8454" width="15.42578125" customWidth="1"/>
    <col min="8455" max="8455" width="9.140625" customWidth="1"/>
    <col min="8456" max="8456" width="13.140625" customWidth="1"/>
    <col min="8457" max="8459" width="9.140625" customWidth="1"/>
    <col min="8705" max="8705" width="25.7109375" customWidth="1"/>
    <col min="8706" max="8706" width="30.7109375" customWidth="1"/>
    <col min="8707" max="8710" width="15.42578125" customWidth="1"/>
    <col min="8711" max="8711" width="9.140625" customWidth="1"/>
    <col min="8712" max="8712" width="13.140625" customWidth="1"/>
    <col min="8713" max="8715" width="9.140625" customWidth="1"/>
    <col min="8961" max="8961" width="25.7109375" customWidth="1"/>
    <col min="8962" max="8962" width="30.7109375" customWidth="1"/>
    <col min="8963" max="8966" width="15.42578125" customWidth="1"/>
    <col min="8967" max="8967" width="9.140625" customWidth="1"/>
    <col min="8968" max="8968" width="13.140625" customWidth="1"/>
    <col min="8969" max="8971" width="9.140625" customWidth="1"/>
    <col min="9217" max="9217" width="25.7109375" customWidth="1"/>
    <col min="9218" max="9218" width="30.7109375" customWidth="1"/>
    <col min="9219" max="9222" width="15.42578125" customWidth="1"/>
    <col min="9223" max="9223" width="9.140625" customWidth="1"/>
    <col min="9224" max="9224" width="13.140625" customWidth="1"/>
    <col min="9225" max="9227" width="9.140625" customWidth="1"/>
    <col min="9473" max="9473" width="25.7109375" customWidth="1"/>
    <col min="9474" max="9474" width="30.7109375" customWidth="1"/>
    <col min="9475" max="9478" width="15.42578125" customWidth="1"/>
    <col min="9479" max="9479" width="9.140625" customWidth="1"/>
    <col min="9480" max="9480" width="13.140625" customWidth="1"/>
    <col min="9481" max="9483" width="9.140625" customWidth="1"/>
    <col min="9729" max="9729" width="25.7109375" customWidth="1"/>
    <col min="9730" max="9730" width="30.7109375" customWidth="1"/>
    <col min="9731" max="9734" width="15.42578125" customWidth="1"/>
    <col min="9735" max="9735" width="9.140625" customWidth="1"/>
    <col min="9736" max="9736" width="13.140625" customWidth="1"/>
    <col min="9737" max="9739" width="9.140625" customWidth="1"/>
    <col min="9985" max="9985" width="25.7109375" customWidth="1"/>
    <col min="9986" max="9986" width="30.7109375" customWidth="1"/>
    <col min="9987" max="9990" width="15.42578125" customWidth="1"/>
    <col min="9991" max="9991" width="9.140625" customWidth="1"/>
    <col min="9992" max="9992" width="13.140625" customWidth="1"/>
    <col min="9993" max="9995" width="9.140625" customWidth="1"/>
    <col min="10241" max="10241" width="25.7109375" customWidth="1"/>
    <col min="10242" max="10242" width="30.7109375" customWidth="1"/>
    <col min="10243" max="10246" width="15.42578125" customWidth="1"/>
    <col min="10247" max="10247" width="9.140625" customWidth="1"/>
    <col min="10248" max="10248" width="13.140625" customWidth="1"/>
    <col min="10249" max="10251" width="9.140625" customWidth="1"/>
    <col min="10497" max="10497" width="25.7109375" customWidth="1"/>
    <col min="10498" max="10498" width="30.7109375" customWidth="1"/>
    <col min="10499" max="10502" width="15.42578125" customWidth="1"/>
    <col min="10503" max="10503" width="9.140625" customWidth="1"/>
    <col min="10504" max="10504" width="13.140625" customWidth="1"/>
    <col min="10505" max="10507" width="9.140625" customWidth="1"/>
    <col min="10753" max="10753" width="25.7109375" customWidth="1"/>
    <col min="10754" max="10754" width="30.7109375" customWidth="1"/>
    <col min="10755" max="10758" width="15.42578125" customWidth="1"/>
    <col min="10759" max="10759" width="9.140625" customWidth="1"/>
    <col min="10760" max="10760" width="13.140625" customWidth="1"/>
    <col min="10761" max="10763" width="9.140625" customWidth="1"/>
    <col min="11009" max="11009" width="25.7109375" customWidth="1"/>
    <col min="11010" max="11010" width="30.7109375" customWidth="1"/>
    <col min="11011" max="11014" width="15.42578125" customWidth="1"/>
    <col min="11015" max="11015" width="9.140625" customWidth="1"/>
    <col min="11016" max="11016" width="13.140625" customWidth="1"/>
    <col min="11017" max="11019" width="9.140625" customWidth="1"/>
    <col min="11265" max="11265" width="25.7109375" customWidth="1"/>
    <col min="11266" max="11266" width="30.7109375" customWidth="1"/>
    <col min="11267" max="11270" width="15.42578125" customWidth="1"/>
    <col min="11271" max="11271" width="9.140625" customWidth="1"/>
    <col min="11272" max="11272" width="13.140625" customWidth="1"/>
    <col min="11273" max="11275" width="9.140625" customWidth="1"/>
    <col min="11521" max="11521" width="25.7109375" customWidth="1"/>
    <col min="11522" max="11522" width="30.7109375" customWidth="1"/>
    <col min="11523" max="11526" width="15.42578125" customWidth="1"/>
    <col min="11527" max="11527" width="9.140625" customWidth="1"/>
    <col min="11528" max="11528" width="13.140625" customWidth="1"/>
    <col min="11529" max="11531" width="9.140625" customWidth="1"/>
    <col min="11777" max="11777" width="25.7109375" customWidth="1"/>
    <col min="11778" max="11778" width="30.7109375" customWidth="1"/>
    <col min="11779" max="11782" width="15.42578125" customWidth="1"/>
    <col min="11783" max="11783" width="9.140625" customWidth="1"/>
    <col min="11784" max="11784" width="13.140625" customWidth="1"/>
    <col min="11785" max="11787" width="9.140625" customWidth="1"/>
    <col min="12033" max="12033" width="25.7109375" customWidth="1"/>
    <col min="12034" max="12034" width="30.7109375" customWidth="1"/>
    <col min="12035" max="12038" width="15.42578125" customWidth="1"/>
    <col min="12039" max="12039" width="9.140625" customWidth="1"/>
    <col min="12040" max="12040" width="13.140625" customWidth="1"/>
    <col min="12041" max="12043" width="9.140625" customWidth="1"/>
    <col min="12289" max="12289" width="25.7109375" customWidth="1"/>
    <col min="12290" max="12290" width="30.7109375" customWidth="1"/>
    <col min="12291" max="12294" width="15.42578125" customWidth="1"/>
    <col min="12295" max="12295" width="9.140625" customWidth="1"/>
    <col min="12296" max="12296" width="13.140625" customWidth="1"/>
    <col min="12297" max="12299" width="9.140625" customWidth="1"/>
    <col min="12545" max="12545" width="25.7109375" customWidth="1"/>
    <col min="12546" max="12546" width="30.7109375" customWidth="1"/>
    <col min="12547" max="12550" width="15.42578125" customWidth="1"/>
    <col min="12551" max="12551" width="9.140625" customWidth="1"/>
    <col min="12552" max="12552" width="13.140625" customWidth="1"/>
    <col min="12553" max="12555" width="9.140625" customWidth="1"/>
    <col min="12801" max="12801" width="25.7109375" customWidth="1"/>
    <col min="12802" max="12802" width="30.7109375" customWidth="1"/>
    <col min="12803" max="12806" width="15.42578125" customWidth="1"/>
    <col min="12807" max="12807" width="9.140625" customWidth="1"/>
    <col min="12808" max="12808" width="13.140625" customWidth="1"/>
    <col min="12809" max="12811" width="9.140625" customWidth="1"/>
    <col min="13057" max="13057" width="25.7109375" customWidth="1"/>
    <col min="13058" max="13058" width="30.7109375" customWidth="1"/>
    <col min="13059" max="13062" width="15.42578125" customWidth="1"/>
    <col min="13063" max="13063" width="9.140625" customWidth="1"/>
    <col min="13064" max="13064" width="13.140625" customWidth="1"/>
    <col min="13065" max="13067" width="9.140625" customWidth="1"/>
    <col min="13313" max="13313" width="25.7109375" customWidth="1"/>
    <col min="13314" max="13314" width="30.7109375" customWidth="1"/>
    <col min="13315" max="13318" width="15.42578125" customWidth="1"/>
    <col min="13319" max="13319" width="9.140625" customWidth="1"/>
    <col min="13320" max="13320" width="13.140625" customWidth="1"/>
    <col min="13321" max="13323" width="9.140625" customWidth="1"/>
    <col min="13569" max="13569" width="25.7109375" customWidth="1"/>
    <col min="13570" max="13570" width="30.7109375" customWidth="1"/>
    <col min="13571" max="13574" width="15.42578125" customWidth="1"/>
    <col min="13575" max="13575" width="9.140625" customWidth="1"/>
    <col min="13576" max="13576" width="13.140625" customWidth="1"/>
    <col min="13577" max="13579" width="9.140625" customWidth="1"/>
    <col min="13825" max="13825" width="25.7109375" customWidth="1"/>
    <col min="13826" max="13826" width="30.7109375" customWidth="1"/>
    <col min="13827" max="13830" width="15.42578125" customWidth="1"/>
    <col min="13831" max="13831" width="9.140625" customWidth="1"/>
    <col min="13832" max="13832" width="13.140625" customWidth="1"/>
    <col min="13833" max="13835" width="9.140625" customWidth="1"/>
    <col min="14081" max="14081" width="25.7109375" customWidth="1"/>
    <col min="14082" max="14082" width="30.7109375" customWidth="1"/>
    <col min="14083" max="14086" width="15.42578125" customWidth="1"/>
    <col min="14087" max="14087" width="9.140625" customWidth="1"/>
    <col min="14088" max="14088" width="13.140625" customWidth="1"/>
    <col min="14089" max="14091" width="9.140625" customWidth="1"/>
    <col min="14337" max="14337" width="25.7109375" customWidth="1"/>
    <col min="14338" max="14338" width="30.7109375" customWidth="1"/>
    <col min="14339" max="14342" width="15.42578125" customWidth="1"/>
    <col min="14343" max="14343" width="9.140625" customWidth="1"/>
    <col min="14344" max="14344" width="13.140625" customWidth="1"/>
    <col min="14345" max="14347" width="9.140625" customWidth="1"/>
    <col min="14593" max="14593" width="25.7109375" customWidth="1"/>
    <col min="14594" max="14594" width="30.7109375" customWidth="1"/>
    <col min="14595" max="14598" width="15.42578125" customWidth="1"/>
    <col min="14599" max="14599" width="9.140625" customWidth="1"/>
    <col min="14600" max="14600" width="13.140625" customWidth="1"/>
    <col min="14601" max="14603" width="9.140625" customWidth="1"/>
    <col min="14849" max="14849" width="25.7109375" customWidth="1"/>
    <col min="14850" max="14850" width="30.7109375" customWidth="1"/>
    <col min="14851" max="14854" width="15.42578125" customWidth="1"/>
    <col min="14855" max="14855" width="9.140625" customWidth="1"/>
    <col min="14856" max="14856" width="13.140625" customWidth="1"/>
    <col min="14857" max="14859" width="9.140625" customWidth="1"/>
    <col min="15105" max="15105" width="25.7109375" customWidth="1"/>
    <col min="15106" max="15106" width="30.7109375" customWidth="1"/>
    <col min="15107" max="15110" width="15.42578125" customWidth="1"/>
    <col min="15111" max="15111" width="9.140625" customWidth="1"/>
    <col min="15112" max="15112" width="13.140625" customWidth="1"/>
    <col min="15113" max="15115" width="9.140625" customWidth="1"/>
    <col min="15361" max="15361" width="25.7109375" customWidth="1"/>
    <col min="15362" max="15362" width="30.7109375" customWidth="1"/>
    <col min="15363" max="15366" width="15.42578125" customWidth="1"/>
    <col min="15367" max="15367" width="9.140625" customWidth="1"/>
    <col min="15368" max="15368" width="13.140625" customWidth="1"/>
    <col min="15369" max="15371" width="9.140625" customWidth="1"/>
    <col min="15617" max="15617" width="25.7109375" customWidth="1"/>
    <col min="15618" max="15618" width="30.7109375" customWidth="1"/>
    <col min="15619" max="15622" width="15.42578125" customWidth="1"/>
    <col min="15623" max="15623" width="9.140625" customWidth="1"/>
    <col min="15624" max="15624" width="13.140625" customWidth="1"/>
    <col min="15625" max="15627" width="9.140625" customWidth="1"/>
    <col min="15873" max="15873" width="25.7109375" customWidth="1"/>
    <col min="15874" max="15874" width="30.7109375" customWidth="1"/>
    <col min="15875" max="15878" width="15.42578125" customWidth="1"/>
    <col min="15879" max="15879" width="9.140625" customWidth="1"/>
    <col min="15880" max="15880" width="13.140625" customWidth="1"/>
    <col min="15881" max="15883" width="9.140625" customWidth="1"/>
    <col min="16129" max="16129" width="25.7109375" customWidth="1"/>
    <col min="16130" max="16130" width="30.7109375" customWidth="1"/>
    <col min="16131" max="16134" width="15.42578125" customWidth="1"/>
    <col min="16135" max="16135" width="9.140625" customWidth="1"/>
    <col min="16136" max="16136" width="13.140625" customWidth="1"/>
    <col min="16137" max="16139" width="9.140625" customWidth="1"/>
  </cols>
  <sheetData>
    <row r="1" spans="1:11" ht="25.35" customHeight="1" x14ac:dyDescent="0.35">
      <c r="A1" s="638" t="s">
        <v>491</v>
      </c>
      <c r="B1" s="638"/>
      <c r="C1" s="638"/>
      <c r="D1" s="638"/>
      <c r="E1" s="638"/>
      <c r="F1" s="638"/>
      <c r="G1" s="638"/>
      <c r="H1" s="1"/>
      <c r="I1" s="1"/>
      <c r="J1" s="1"/>
      <c r="K1" s="1"/>
    </row>
    <row r="2" spans="1:11" hidden="1" x14ac:dyDescent="0.2">
      <c r="A2" s="365" t="s">
        <v>492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idden="1" x14ac:dyDescent="0.2">
      <c r="A3" s="1" t="s">
        <v>493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/>
      <c r="B5" s="639" t="s">
        <v>491</v>
      </c>
      <c r="C5" s="640"/>
      <c r="D5" s="640"/>
      <c r="E5" s="640"/>
      <c r="F5" s="640"/>
      <c r="G5" s="640"/>
      <c r="H5" s="1"/>
      <c r="I5" s="1"/>
      <c r="J5" s="1"/>
      <c r="K5" s="1"/>
    </row>
    <row r="6" spans="1:11" ht="63" x14ac:dyDescent="0.2">
      <c r="A6" s="366" t="s">
        <v>0</v>
      </c>
      <c r="B6" s="366" t="s">
        <v>1</v>
      </c>
      <c r="C6" s="366" t="s">
        <v>494</v>
      </c>
      <c r="D6" s="366" t="s">
        <v>495</v>
      </c>
      <c r="E6" s="366" t="s">
        <v>496</v>
      </c>
      <c r="F6" s="366" t="s">
        <v>547</v>
      </c>
      <c r="G6" s="366" t="s">
        <v>548</v>
      </c>
    </row>
    <row r="7" spans="1:11" ht="27" hidden="1" customHeight="1" x14ac:dyDescent="0.2">
      <c r="A7" s="367" t="s">
        <v>497</v>
      </c>
      <c r="B7" s="368" t="s">
        <v>498</v>
      </c>
      <c r="C7" s="369">
        <v>298525043.49000001</v>
      </c>
      <c r="D7" s="369">
        <f>D8+D16+D21+D25+D26+D27+D28+D29+D32+D36+D37+D38+D39+D40+D44+D47+D48+D49+D50+D51</f>
        <v>308756364.5</v>
      </c>
      <c r="E7" s="369">
        <f>E8+E16+E21+E25+E26+E27+E28+E29+E32+E36+E37+E38+E39+E40+E44+E47+E48+E49+E50+E51</f>
        <v>7285499.7999999998</v>
      </c>
      <c r="F7" s="369">
        <f>F8+F16+F21+F25+F26+F27+F28+F29+F32+F36+F37+F38+F39+F40+F44+F47+F48+F49+F50+F51</f>
        <v>316041864.30000001</v>
      </c>
      <c r="G7" s="369">
        <f>G8+G16+G21+G25+G26+G27+G28+G29+G32+G36+G37+G38+G39+G40+G44+G47+G48+G49+G50+G51</f>
        <v>316041.89999999997</v>
      </c>
    </row>
    <row r="8" spans="1:11" ht="30" customHeight="1" outlineLevel="2" x14ac:dyDescent="0.2">
      <c r="A8" s="366" t="s">
        <v>499</v>
      </c>
      <c r="B8" s="370" t="s">
        <v>183</v>
      </c>
      <c r="C8" s="371">
        <v>210603971.43000001</v>
      </c>
      <c r="D8" s="371">
        <v>219104700</v>
      </c>
      <c r="E8" s="371">
        <f>F8-D8</f>
        <v>3322500</v>
      </c>
      <c r="F8" s="371">
        <v>222427200</v>
      </c>
      <c r="G8" s="371">
        <v>222427.2</v>
      </c>
    </row>
    <row r="9" spans="1:11" ht="15.75" outlineLevel="3" x14ac:dyDescent="0.2">
      <c r="A9" s="366" t="s">
        <v>500</v>
      </c>
      <c r="B9" s="373" t="s">
        <v>500</v>
      </c>
      <c r="C9" s="374">
        <v>203212645.94999999</v>
      </c>
      <c r="D9" s="374">
        <v>214730200</v>
      </c>
      <c r="E9" s="374">
        <f t="shared" ref="E9:E51" si="0">F9-D9</f>
        <v>300500</v>
      </c>
      <c r="F9" s="374">
        <f>F8-F10-F11-F12-F13-F14-F15</f>
        <v>215030700</v>
      </c>
      <c r="G9" s="374">
        <v>215030.7</v>
      </c>
    </row>
    <row r="10" spans="1:11" ht="15.75" outlineLevel="3" x14ac:dyDescent="0.2">
      <c r="A10" s="366" t="s">
        <v>501</v>
      </c>
      <c r="B10" s="373" t="s">
        <v>501</v>
      </c>
      <c r="C10" s="374">
        <v>2410033.11</v>
      </c>
      <c r="D10" s="374">
        <v>1733800</v>
      </c>
      <c r="E10" s="374">
        <f t="shared" si="0"/>
        <v>676200</v>
      </c>
      <c r="F10" s="374">
        <v>2410000</v>
      </c>
      <c r="G10" s="374">
        <v>2410</v>
      </c>
    </row>
    <row r="11" spans="1:11" ht="15.75" outlineLevel="3" x14ac:dyDescent="0.2">
      <c r="A11" s="366" t="s">
        <v>502</v>
      </c>
      <c r="B11" s="373" t="s">
        <v>502</v>
      </c>
      <c r="C11" s="374">
        <v>3312465.57</v>
      </c>
      <c r="D11" s="374">
        <v>2385500</v>
      </c>
      <c r="E11" s="374">
        <f t="shared" si="0"/>
        <v>926900</v>
      </c>
      <c r="F11" s="374">
        <v>3312400</v>
      </c>
      <c r="G11" s="374">
        <v>3312.4</v>
      </c>
    </row>
    <row r="12" spans="1:11" ht="15.75" outlineLevel="4" x14ac:dyDescent="0.2">
      <c r="A12" s="366" t="s">
        <v>503</v>
      </c>
      <c r="B12" s="373" t="s">
        <v>503</v>
      </c>
      <c r="C12" s="374">
        <v>5508.94</v>
      </c>
      <c r="D12" s="374">
        <v>0</v>
      </c>
      <c r="E12" s="374">
        <f t="shared" si="0"/>
        <v>5500</v>
      </c>
      <c r="F12" s="374">
        <v>5500</v>
      </c>
      <c r="G12" s="374">
        <v>5.5</v>
      </c>
    </row>
    <row r="13" spans="1:11" ht="15.75" outlineLevel="3" x14ac:dyDescent="0.2">
      <c r="A13" s="366" t="s">
        <v>504</v>
      </c>
      <c r="B13" s="373" t="s">
        <v>504</v>
      </c>
      <c r="C13" s="374">
        <v>385171.5</v>
      </c>
      <c r="D13" s="374">
        <v>255200</v>
      </c>
      <c r="E13" s="374">
        <f t="shared" si="0"/>
        <v>129900</v>
      </c>
      <c r="F13" s="374">
        <v>385100</v>
      </c>
      <c r="G13" s="374">
        <v>385.1</v>
      </c>
    </row>
    <row r="14" spans="1:11" ht="15.75" outlineLevel="3" x14ac:dyDescent="0.2">
      <c r="A14" s="366" t="s">
        <v>505</v>
      </c>
      <c r="B14" s="373" t="s">
        <v>505</v>
      </c>
      <c r="C14" s="374">
        <v>259274.3</v>
      </c>
      <c r="D14" s="374">
        <v>0</v>
      </c>
      <c r="E14" s="374">
        <f t="shared" si="0"/>
        <v>259200</v>
      </c>
      <c r="F14" s="374">
        <v>259200</v>
      </c>
      <c r="G14" s="374">
        <v>259.2</v>
      </c>
    </row>
    <row r="15" spans="1:11" ht="15.75" outlineLevel="3" x14ac:dyDescent="0.2">
      <c r="A15" s="366" t="s">
        <v>506</v>
      </c>
      <c r="B15" s="373" t="s">
        <v>506</v>
      </c>
      <c r="C15" s="374">
        <v>1024381</v>
      </c>
      <c r="D15" s="374">
        <v>0</v>
      </c>
      <c r="E15" s="374">
        <f t="shared" si="0"/>
        <v>1024300</v>
      </c>
      <c r="F15" s="374">
        <v>1024300</v>
      </c>
      <c r="G15" s="374">
        <v>1024.3</v>
      </c>
    </row>
    <row r="16" spans="1:11" ht="23.25" customHeight="1" outlineLevel="1" x14ac:dyDescent="0.2">
      <c r="A16" s="366" t="s">
        <v>8</v>
      </c>
      <c r="B16" s="370" t="s">
        <v>442</v>
      </c>
      <c r="C16" s="371">
        <v>19143506.07</v>
      </c>
      <c r="D16" s="371">
        <v>19449700</v>
      </c>
      <c r="E16" s="371">
        <f t="shared" si="0"/>
        <v>0</v>
      </c>
      <c r="F16" s="371">
        <v>19449700</v>
      </c>
      <c r="G16" s="371">
        <v>19449.7</v>
      </c>
    </row>
    <row r="17" spans="1:7" ht="15.75" outlineLevel="7" x14ac:dyDescent="0.2">
      <c r="A17" s="373" t="s">
        <v>507</v>
      </c>
      <c r="B17" s="373" t="s">
        <v>507</v>
      </c>
      <c r="C17" s="374">
        <v>9915255.1500000004</v>
      </c>
      <c r="D17" s="374">
        <v>10143000</v>
      </c>
      <c r="E17" s="371">
        <f t="shared" si="0"/>
        <v>-8600</v>
      </c>
      <c r="F17" s="374">
        <v>10134400</v>
      </c>
      <c r="G17" s="374">
        <v>10143</v>
      </c>
    </row>
    <row r="18" spans="1:7" ht="15.75" outlineLevel="7" x14ac:dyDescent="0.2">
      <c r="A18" s="373" t="s">
        <v>508</v>
      </c>
      <c r="B18" s="373" t="s">
        <v>508</v>
      </c>
      <c r="C18" s="374">
        <v>57201.440000000002</v>
      </c>
      <c r="D18" s="374">
        <v>48600</v>
      </c>
      <c r="E18" s="371">
        <f t="shared" si="0"/>
        <v>8600</v>
      </c>
      <c r="F18" s="374">
        <v>57200</v>
      </c>
      <c r="G18" s="374">
        <v>48.6</v>
      </c>
    </row>
    <row r="19" spans="1:7" ht="15.75" outlineLevel="7" x14ac:dyDescent="0.2">
      <c r="A19" s="373" t="s">
        <v>509</v>
      </c>
      <c r="B19" s="373" t="s">
        <v>509</v>
      </c>
      <c r="C19" s="374">
        <v>10267245.59</v>
      </c>
      <c r="D19" s="374">
        <v>10518400</v>
      </c>
      <c r="E19" s="371">
        <f t="shared" si="0"/>
        <v>0</v>
      </c>
      <c r="F19" s="374">
        <v>10518400</v>
      </c>
      <c r="G19" s="374">
        <v>10518.4</v>
      </c>
    </row>
    <row r="20" spans="1:7" ht="15.75" outlineLevel="7" x14ac:dyDescent="0.2">
      <c r="A20" s="373" t="s">
        <v>510</v>
      </c>
      <c r="B20" s="373" t="s">
        <v>510</v>
      </c>
      <c r="C20" s="374">
        <v>-1096196.1100000001</v>
      </c>
      <c r="D20" s="374">
        <v>-1260300</v>
      </c>
      <c r="E20" s="371">
        <f t="shared" si="0"/>
        <v>0</v>
      </c>
      <c r="F20" s="374">
        <v>-1260300</v>
      </c>
      <c r="G20" s="374">
        <v>-1260.3</v>
      </c>
    </row>
    <row r="21" spans="1:7" ht="47.25" outlineLevel="2" x14ac:dyDescent="0.2">
      <c r="A21" s="366" t="s">
        <v>9</v>
      </c>
      <c r="B21" s="370" t="s">
        <v>511</v>
      </c>
      <c r="C21" s="371">
        <v>17376514.739999998</v>
      </c>
      <c r="D21" s="371">
        <v>15744500</v>
      </c>
      <c r="E21" s="371">
        <f t="shared" si="0"/>
        <v>1662300</v>
      </c>
      <c r="F21" s="371">
        <v>17406800</v>
      </c>
      <c r="G21" s="371">
        <v>17406.8</v>
      </c>
    </row>
    <row r="22" spans="1:7" ht="15.75" outlineLevel="7" x14ac:dyDescent="0.2">
      <c r="A22" s="373" t="s">
        <v>512</v>
      </c>
      <c r="B22" s="373" t="s">
        <v>512</v>
      </c>
      <c r="C22" s="374">
        <v>11983836.59</v>
      </c>
      <c r="D22" s="374">
        <v>8045400</v>
      </c>
      <c r="E22" s="371">
        <f t="shared" si="0"/>
        <v>3970100</v>
      </c>
      <c r="F22" s="374">
        <f>F21-F24</f>
        <v>12015500</v>
      </c>
      <c r="G22" s="374">
        <v>12015.5</v>
      </c>
    </row>
    <row r="23" spans="1:7" ht="15.75" outlineLevel="7" x14ac:dyDescent="0.2">
      <c r="A23" s="373" t="s">
        <v>513</v>
      </c>
      <c r="B23" s="373" t="s">
        <v>513</v>
      </c>
      <c r="C23" s="374">
        <v>1374.53</v>
      </c>
      <c r="D23" s="374">
        <v>0</v>
      </c>
      <c r="E23" s="371">
        <f t="shared" si="0"/>
        <v>0</v>
      </c>
      <c r="F23" s="374">
        <v>0</v>
      </c>
      <c r="G23" s="374">
        <v>0</v>
      </c>
    </row>
    <row r="24" spans="1:7" ht="15.75" outlineLevel="3" x14ac:dyDescent="0.2">
      <c r="A24" s="373" t="s">
        <v>514</v>
      </c>
      <c r="B24" s="373" t="s">
        <v>514</v>
      </c>
      <c r="C24" s="374">
        <v>5391303.6200000001</v>
      </c>
      <c r="D24" s="374">
        <v>7699100</v>
      </c>
      <c r="E24" s="371">
        <f t="shared" si="0"/>
        <v>-2307800</v>
      </c>
      <c r="F24" s="374">
        <v>5391300</v>
      </c>
      <c r="G24" s="374">
        <v>5391.3</v>
      </c>
    </row>
    <row r="25" spans="1:7" ht="63" outlineLevel="2" x14ac:dyDescent="0.2">
      <c r="A25" s="366" t="s">
        <v>10</v>
      </c>
      <c r="B25" s="370" t="s">
        <v>515</v>
      </c>
      <c r="C25" s="371">
        <v>59202</v>
      </c>
      <c r="D25" s="371">
        <v>0</v>
      </c>
      <c r="E25" s="371">
        <f t="shared" si="0"/>
        <v>0</v>
      </c>
      <c r="F25" s="371">
        <v>0</v>
      </c>
      <c r="G25" s="371">
        <v>0</v>
      </c>
    </row>
    <row r="26" spans="1:7" ht="47.25" outlineLevel="2" x14ac:dyDescent="0.2">
      <c r="A26" s="366" t="s">
        <v>11</v>
      </c>
      <c r="B26" s="370" t="s">
        <v>12</v>
      </c>
      <c r="C26" s="371">
        <v>2446642.83</v>
      </c>
      <c r="D26" s="371">
        <v>2417300</v>
      </c>
      <c r="E26" s="371">
        <f t="shared" si="0"/>
        <v>29300</v>
      </c>
      <c r="F26" s="371">
        <v>2446600</v>
      </c>
      <c r="G26" s="371">
        <v>2446.6</v>
      </c>
    </row>
    <row r="27" spans="1:7" ht="47.25" outlineLevel="2" x14ac:dyDescent="0.2">
      <c r="A27" s="366" t="s">
        <v>13</v>
      </c>
      <c r="B27" s="370" t="s">
        <v>187</v>
      </c>
      <c r="C27" s="371">
        <v>3292302.77</v>
      </c>
      <c r="D27" s="371">
        <v>1924500</v>
      </c>
      <c r="E27" s="371">
        <f t="shared" si="0"/>
        <v>1367800</v>
      </c>
      <c r="F27" s="371">
        <v>3292300</v>
      </c>
      <c r="G27" s="371">
        <v>3292.3</v>
      </c>
    </row>
    <row r="28" spans="1:7" ht="31.5" outlineLevel="2" x14ac:dyDescent="0.2">
      <c r="A28" s="366" t="s">
        <v>14</v>
      </c>
      <c r="B28" s="370" t="s">
        <v>15</v>
      </c>
      <c r="C28" s="371">
        <v>8342604</v>
      </c>
      <c r="D28" s="371">
        <v>9874700</v>
      </c>
      <c r="E28" s="371">
        <f t="shared" si="0"/>
        <v>0</v>
      </c>
      <c r="F28" s="371">
        <v>9874700</v>
      </c>
      <c r="G28" s="371">
        <v>9874.7000000000007</v>
      </c>
    </row>
    <row r="29" spans="1:7" ht="22.5" customHeight="1" outlineLevel="2" x14ac:dyDescent="0.2">
      <c r="A29" s="366" t="s">
        <v>516</v>
      </c>
      <c r="B29" s="370" t="s">
        <v>191</v>
      </c>
      <c r="C29" s="371">
        <v>16943312.760000002</v>
      </c>
      <c r="D29" s="371">
        <v>20469900</v>
      </c>
      <c r="E29" s="371">
        <f t="shared" si="0"/>
        <v>0</v>
      </c>
      <c r="F29" s="371">
        <f>6631900+13838000</f>
        <v>20469900</v>
      </c>
      <c r="G29" s="371">
        <v>20469.900000000001</v>
      </c>
    </row>
    <row r="30" spans="1:7" ht="15.75" outlineLevel="7" x14ac:dyDescent="0.2">
      <c r="A30" s="373" t="s">
        <v>517</v>
      </c>
      <c r="B30" s="373" t="s">
        <v>517</v>
      </c>
      <c r="C30" s="374">
        <v>5365209.88</v>
      </c>
      <c r="D30" s="374">
        <v>6631900</v>
      </c>
      <c r="E30" s="371">
        <f t="shared" si="0"/>
        <v>0</v>
      </c>
      <c r="F30" s="374">
        <v>6631900</v>
      </c>
      <c r="G30" s="374">
        <v>6631900</v>
      </c>
    </row>
    <row r="31" spans="1:7" ht="15.75" outlineLevel="7" x14ac:dyDescent="0.2">
      <c r="A31" s="373" t="s">
        <v>518</v>
      </c>
      <c r="B31" s="373" t="s">
        <v>518</v>
      </c>
      <c r="C31" s="374">
        <v>11578102.880000001</v>
      </c>
      <c r="D31" s="374">
        <v>13838000</v>
      </c>
      <c r="E31" s="371">
        <f t="shared" si="0"/>
        <v>0</v>
      </c>
      <c r="F31" s="374">
        <v>13838000</v>
      </c>
      <c r="G31" s="374">
        <v>13838000</v>
      </c>
    </row>
    <row r="32" spans="1:7" ht="78.75" outlineLevel="2" x14ac:dyDescent="0.2">
      <c r="A32" s="366" t="s">
        <v>519</v>
      </c>
      <c r="B32" s="370" t="s">
        <v>520</v>
      </c>
      <c r="C32" s="371">
        <v>3102137.27</v>
      </c>
      <c r="D32" s="371">
        <v>2314000</v>
      </c>
      <c r="E32" s="371">
        <f t="shared" si="0"/>
        <v>797600</v>
      </c>
      <c r="F32" s="371">
        <v>3111600</v>
      </c>
      <c r="G32" s="371">
        <v>3111.6</v>
      </c>
    </row>
    <row r="33" spans="1:7" ht="15.75" outlineLevel="7" x14ac:dyDescent="0.2">
      <c r="A33" s="373" t="s">
        <v>521</v>
      </c>
      <c r="B33" s="373" t="s">
        <v>521</v>
      </c>
      <c r="C33" s="374">
        <v>3039720.34</v>
      </c>
      <c r="D33" s="374">
        <v>2314000</v>
      </c>
      <c r="E33" s="374">
        <f t="shared" si="0"/>
        <v>735200</v>
      </c>
      <c r="F33" s="374">
        <f>F32-F34</f>
        <v>3049200</v>
      </c>
      <c r="G33" s="374">
        <v>3049.2</v>
      </c>
    </row>
    <row r="34" spans="1:7" ht="15.75" outlineLevel="7" x14ac:dyDescent="0.2">
      <c r="A34" s="373" t="s">
        <v>522</v>
      </c>
      <c r="B34" s="373" t="s">
        <v>522</v>
      </c>
      <c r="C34" s="374">
        <v>62416.93</v>
      </c>
      <c r="D34" s="374">
        <v>0</v>
      </c>
      <c r="E34" s="374">
        <f t="shared" si="0"/>
        <v>62400</v>
      </c>
      <c r="F34" s="374">
        <v>62400</v>
      </c>
      <c r="G34" s="374">
        <v>62.4</v>
      </c>
    </row>
    <row r="35" spans="1:7" ht="15.75" outlineLevel="7" x14ac:dyDescent="0.2">
      <c r="A35" s="375"/>
      <c r="B35" s="376" t="s">
        <v>523</v>
      </c>
      <c r="C35" s="377">
        <f>C32+C29+C28+C27+C26+C25+C21+C16+C8</f>
        <v>281310193.87</v>
      </c>
      <c r="D35" s="377">
        <f>D32+D29+D28+D27+D26+D25+D21+D16+D8</f>
        <v>291299300</v>
      </c>
      <c r="E35" s="377">
        <f>E32+E29+E28+E27+E26+E25+E21+E16+E8</f>
        <v>7179500</v>
      </c>
      <c r="F35" s="377">
        <f>F32+F29+F28+F27+F26+F25+F21+F16+F8</f>
        <v>298478800</v>
      </c>
      <c r="G35" s="377">
        <f>G32+G29+G28+G27+G26+G25+G21+G16+G8</f>
        <v>298478.8</v>
      </c>
    </row>
    <row r="36" spans="1:7" ht="20.25" customHeight="1" outlineLevel="3" x14ac:dyDescent="0.2">
      <c r="A36" s="366" t="s">
        <v>524</v>
      </c>
      <c r="B36" s="370" t="s">
        <v>543</v>
      </c>
      <c r="C36" s="371">
        <v>124000</v>
      </c>
      <c r="D36" s="371">
        <v>124000</v>
      </c>
      <c r="E36" s="371">
        <f t="shared" si="0"/>
        <v>0</v>
      </c>
      <c r="F36" s="371">
        <v>124000</v>
      </c>
      <c r="G36" s="371">
        <v>124</v>
      </c>
    </row>
    <row r="37" spans="1:7" ht="47.25" outlineLevel="7" x14ac:dyDescent="0.2">
      <c r="A37" s="366" t="s">
        <v>525</v>
      </c>
      <c r="B37" s="372" t="s">
        <v>544</v>
      </c>
      <c r="C37" s="371">
        <v>4088963.43</v>
      </c>
      <c r="D37" s="371">
        <v>4275300</v>
      </c>
      <c r="E37" s="371">
        <f t="shared" si="0"/>
        <v>-100</v>
      </c>
      <c r="F37" s="371">
        <v>4275200</v>
      </c>
      <c r="G37" s="371">
        <v>4275.2</v>
      </c>
    </row>
    <row r="38" spans="1:7" ht="31.5" outlineLevel="7" x14ac:dyDescent="0.2">
      <c r="A38" s="366" t="s">
        <v>526</v>
      </c>
      <c r="B38" s="370" t="s">
        <v>545</v>
      </c>
      <c r="C38" s="371">
        <v>1507793.18</v>
      </c>
      <c r="D38" s="371">
        <v>1657000</v>
      </c>
      <c r="E38" s="371">
        <f t="shared" si="0"/>
        <v>-135400</v>
      </c>
      <c r="F38" s="371">
        <v>1521600</v>
      </c>
      <c r="G38" s="371">
        <v>1521.6</v>
      </c>
    </row>
    <row r="39" spans="1:7" ht="31.5" outlineLevel="7" x14ac:dyDescent="0.2">
      <c r="A39" s="366" t="s">
        <v>527</v>
      </c>
      <c r="B39" s="372" t="s">
        <v>528</v>
      </c>
      <c r="C39" s="371">
        <v>4.55</v>
      </c>
      <c r="D39" s="371">
        <v>0</v>
      </c>
      <c r="E39" s="371">
        <f t="shared" si="0"/>
        <v>0</v>
      </c>
      <c r="F39" s="371">
        <v>0</v>
      </c>
      <c r="G39" s="371">
        <v>0</v>
      </c>
    </row>
    <row r="40" spans="1:7" ht="47.25" outlineLevel="2" x14ac:dyDescent="0.2">
      <c r="A40" s="366" t="s">
        <v>24</v>
      </c>
      <c r="B40" s="370" t="s">
        <v>25</v>
      </c>
      <c r="C40" s="371">
        <v>820039.85</v>
      </c>
      <c r="D40" s="371">
        <v>1447500</v>
      </c>
      <c r="E40" s="371">
        <f t="shared" si="0"/>
        <v>-627500</v>
      </c>
      <c r="F40" s="371">
        <v>820000</v>
      </c>
      <c r="G40" s="371">
        <v>820</v>
      </c>
    </row>
    <row r="41" spans="1:7" ht="15.75" outlineLevel="7" x14ac:dyDescent="0.2">
      <c r="A41" s="373" t="s">
        <v>529</v>
      </c>
      <c r="B41" s="373" t="s">
        <v>551</v>
      </c>
      <c r="C41" s="374">
        <v>392238.91</v>
      </c>
      <c r="D41" s="374">
        <v>506600</v>
      </c>
      <c r="E41" s="374">
        <f t="shared" si="0"/>
        <v>-114400</v>
      </c>
      <c r="F41" s="374">
        <v>392200</v>
      </c>
      <c r="G41" s="374">
        <v>392.2</v>
      </c>
    </row>
    <row r="42" spans="1:7" ht="15.75" outlineLevel="7" x14ac:dyDescent="0.2">
      <c r="A42" s="373" t="s">
        <v>530</v>
      </c>
      <c r="B42" s="373" t="s">
        <v>530</v>
      </c>
      <c r="C42" s="374">
        <v>427756.47</v>
      </c>
      <c r="D42" s="374">
        <v>940900</v>
      </c>
      <c r="E42" s="374">
        <f t="shared" si="0"/>
        <v>-513100</v>
      </c>
      <c r="F42" s="374">
        <v>427800</v>
      </c>
      <c r="G42" s="374">
        <v>427.8</v>
      </c>
    </row>
    <row r="43" spans="1:7" ht="15.75" outlineLevel="7" x14ac:dyDescent="0.2">
      <c r="A43" s="373" t="s">
        <v>531</v>
      </c>
      <c r="B43" s="373" t="s">
        <v>531</v>
      </c>
      <c r="C43" s="374">
        <v>44.47</v>
      </c>
      <c r="D43" s="374">
        <v>0</v>
      </c>
      <c r="E43" s="374">
        <f t="shared" si="0"/>
        <v>0</v>
      </c>
      <c r="F43" s="374">
        <v>0</v>
      </c>
      <c r="G43" s="374">
        <v>0</v>
      </c>
    </row>
    <row r="44" spans="1:7" ht="63" outlineLevel="1" x14ac:dyDescent="0.2">
      <c r="A44" s="366" t="s">
        <v>532</v>
      </c>
      <c r="B44" s="370" t="s">
        <v>533</v>
      </c>
      <c r="C44" s="371">
        <v>615266.35</v>
      </c>
      <c r="D44" s="371">
        <f>D45+D46</f>
        <v>514100.2</v>
      </c>
      <c r="E44" s="371">
        <f t="shared" si="0"/>
        <v>105199.79999999999</v>
      </c>
      <c r="F44" s="371">
        <f t="shared" ref="F44:G44" si="1">F45+F46</f>
        <v>619300</v>
      </c>
      <c r="G44" s="371">
        <f t="shared" si="1"/>
        <v>619.29999999999995</v>
      </c>
    </row>
    <row r="45" spans="1:7" ht="15.75" outlineLevel="7" x14ac:dyDescent="0.2">
      <c r="A45" s="373" t="s">
        <v>534</v>
      </c>
      <c r="B45" s="373" t="s">
        <v>534</v>
      </c>
      <c r="C45" s="374">
        <v>419084.55</v>
      </c>
      <c r="D45" s="374">
        <v>460000</v>
      </c>
      <c r="E45" s="374">
        <f t="shared" si="0"/>
        <v>-36800</v>
      </c>
      <c r="F45" s="374">
        <v>423200</v>
      </c>
      <c r="G45" s="374">
        <v>423.2</v>
      </c>
    </row>
    <row r="46" spans="1:7" ht="15.75" outlineLevel="7" x14ac:dyDescent="0.2">
      <c r="A46" s="373" t="s">
        <v>535</v>
      </c>
      <c r="B46" s="373" t="s">
        <v>535</v>
      </c>
      <c r="C46" s="374">
        <v>196181.8</v>
      </c>
      <c r="D46" s="374">
        <v>54100.2</v>
      </c>
      <c r="E46" s="374">
        <f t="shared" si="0"/>
        <v>141999.79999999999</v>
      </c>
      <c r="F46" s="374">
        <v>196100</v>
      </c>
      <c r="G46" s="374">
        <v>196.1</v>
      </c>
    </row>
    <row r="47" spans="1:7" ht="31.5" outlineLevel="7" x14ac:dyDescent="0.2">
      <c r="A47" s="366" t="s">
        <v>536</v>
      </c>
      <c r="B47" s="370" t="s">
        <v>546</v>
      </c>
      <c r="C47" s="371">
        <v>7402302.0999999996</v>
      </c>
      <c r="D47" s="371">
        <v>7100000</v>
      </c>
      <c r="E47" s="371">
        <f t="shared" si="0"/>
        <v>302300</v>
      </c>
      <c r="F47" s="371">
        <v>7402300</v>
      </c>
      <c r="G47" s="371">
        <v>7402.3</v>
      </c>
    </row>
    <row r="48" spans="1:7" ht="31.5" outlineLevel="7" x14ac:dyDescent="0.2">
      <c r="A48" s="366" t="s">
        <v>537</v>
      </c>
      <c r="B48" s="370" t="s">
        <v>424</v>
      </c>
      <c r="C48" s="371">
        <v>487600</v>
      </c>
      <c r="D48" s="371">
        <v>720000</v>
      </c>
      <c r="E48" s="371">
        <f t="shared" si="0"/>
        <v>-232400</v>
      </c>
      <c r="F48" s="371">
        <v>487600</v>
      </c>
      <c r="G48" s="371">
        <v>487.6</v>
      </c>
    </row>
    <row r="49" spans="1:7" ht="15.75" outlineLevel="1" x14ac:dyDescent="0.2">
      <c r="A49" s="366" t="s">
        <v>29</v>
      </c>
      <c r="B49" s="370" t="s">
        <v>109</v>
      </c>
      <c r="C49" s="371">
        <v>1427304.6</v>
      </c>
      <c r="D49" s="371">
        <v>734100</v>
      </c>
      <c r="E49" s="371">
        <f t="shared" si="0"/>
        <v>693200</v>
      </c>
      <c r="F49" s="371">
        <v>1427300</v>
      </c>
      <c r="G49" s="371">
        <v>1427.3</v>
      </c>
    </row>
    <row r="50" spans="1:7" ht="47.25" outlineLevel="3" x14ac:dyDescent="0.2">
      <c r="A50" s="366" t="s">
        <v>538</v>
      </c>
      <c r="B50" s="370" t="s">
        <v>539</v>
      </c>
      <c r="C50" s="371">
        <v>700</v>
      </c>
      <c r="D50" s="371">
        <v>0</v>
      </c>
      <c r="E50" s="371">
        <f t="shared" si="0"/>
        <v>700</v>
      </c>
      <c r="F50" s="371">
        <v>700</v>
      </c>
      <c r="G50" s="371">
        <v>0.7</v>
      </c>
    </row>
    <row r="51" spans="1:7" ht="15.75" outlineLevel="2" x14ac:dyDescent="0.2">
      <c r="A51" s="366" t="s">
        <v>540</v>
      </c>
      <c r="B51" s="370" t="s">
        <v>541</v>
      </c>
      <c r="C51" s="371">
        <v>740875.56</v>
      </c>
      <c r="D51" s="371">
        <v>885064.3</v>
      </c>
      <c r="E51" s="371">
        <f t="shared" si="0"/>
        <v>0</v>
      </c>
      <c r="F51" s="371">
        <v>885064.3</v>
      </c>
      <c r="G51" s="371">
        <v>885.1</v>
      </c>
    </row>
    <row r="52" spans="1:7" ht="29.25" customHeight="1" outlineLevel="7" x14ac:dyDescent="0.2">
      <c r="A52" s="375"/>
      <c r="B52" s="376" t="s">
        <v>542</v>
      </c>
      <c r="C52" s="377">
        <f>C51+C50+C49+C48+C47+C44+C40+C39+C38+C37+C36</f>
        <v>17214849.620000001</v>
      </c>
      <c r="D52" s="377">
        <f>D51+D50+D49+D48+D47+D44+D40+D39+D38+D37+D36</f>
        <v>17457064.5</v>
      </c>
      <c r="E52" s="377">
        <f>E51+E50+E49+E48+E47+E44+E40+E39+E38+E37+E36</f>
        <v>105999.80000000005</v>
      </c>
      <c r="F52" s="377">
        <f>F51+F50+F49+F48+F47+F44+F40+F39+F38+F37+F36</f>
        <v>17563064.300000001</v>
      </c>
      <c r="G52" s="377">
        <f>G51+G50+G49+G48+G47+G44+G40+G39+G38+G37+G36</f>
        <v>17563.099999999999</v>
      </c>
    </row>
    <row r="53" spans="1:7" ht="36.75" customHeight="1" x14ac:dyDescent="0.2">
      <c r="A53" s="367" t="s">
        <v>497</v>
      </c>
      <c r="B53" s="368" t="s">
        <v>498</v>
      </c>
      <c r="C53" s="369">
        <f>C52+C35</f>
        <v>298525043.49000001</v>
      </c>
      <c r="D53" s="369">
        <f>D52+D35</f>
        <v>308756364.5</v>
      </c>
      <c r="E53" s="369">
        <f>E52+E35</f>
        <v>7285499.7999999998</v>
      </c>
      <c r="F53" s="369">
        <f>F52+F35</f>
        <v>316041864.30000001</v>
      </c>
      <c r="G53" s="369">
        <f>G52+G35</f>
        <v>316041.89999999997</v>
      </c>
    </row>
  </sheetData>
  <mergeCells count="2">
    <mergeCell ref="A1:G1"/>
    <mergeCell ref="B5:G5"/>
  </mergeCells>
  <pageMargins left="0.94488188976377963" right="0.11811023622047245" top="0.11811023622047245" bottom="0.11811023622047245" header="0.51181102362204722" footer="0.51181102362204722"/>
  <pageSetup paperSize="9" scale="6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workbookViewId="0">
      <pane ySplit="4" topLeftCell="A5" activePane="bottomLeft" state="frozen"/>
      <selection pane="bottomLeft" activeCell="E38" sqref="E38"/>
    </sheetView>
  </sheetViews>
  <sheetFormatPr defaultRowHeight="15.75" x14ac:dyDescent="0.25"/>
  <cols>
    <col min="1" max="1" width="46" style="545" customWidth="1"/>
    <col min="2" max="2" width="13" style="545" customWidth="1"/>
    <col min="3" max="3" width="14.7109375" style="545" customWidth="1"/>
    <col min="4" max="5" width="14.28515625" style="545" customWidth="1"/>
    <col min="6" max="6" width="13.85546875" style="545" customWidth="1"/>
    <col min="7" max="7" width="12.42578125" style="545" customWidth="1"/>
    <col min="8" max="8" width="13.140625" style="545" customWidth="1"/>
    <col min="9" max="9" width="11.7109375" style="545" customWidth="1"/>
    <col min="10" max="10" width="12.85546875" style="545" customWidth="1"/>
    <col min="11" max="16384" width="9.140625" style="492"/>
  </cols>
  <sheetData>
    <row r="1" spans="1:12" ht="18.75" x14ac:dyDescent="0.3">
      <c r="A1" s="641" t="s">
        <v>647</v>
      </c>
      <c r="B1" s="642"/>
      <c r="C1" s="642"/>
      <c r="D1" s="642"/>
      <c r="E1" s="642"/>
      <c r="F1" s="642"/>
      <c r="G1" s="642"/>
      <c r="H1" s="642"/>
      <c r="I1" s="642"/>
      <c r="J1" s="642"/>
    </row>
    <row r="2" spans="1:12" x14ac:dyDescent="0.25">
      <c r="A2" s="493"/>
      <c r="B2" s="493"/>
      <c r="C2" s="493"/>
      <c r="D2" s="493"/>
      <c r="E2" s="493"/>
      <c r="F2" s="493"/>
      <c r="G2" s="494"/>
      <c r="H2" s="493"/>
      <c r="I2" s="494" t="s">
        <v>592</v>
      </c>
      <c r="J2" s="493"/>
    </row>
    <row r="3" spans="1:12" customFormat="1" ht="15" x14ac:dyDescent="0.25">
      <c r="A3" s="643" t="s">
        <v>593</v>
      </c>
      <c r="B3" s="645" t="s">
        <v>594</v>
      </c>
      <c r="C3" s="647" t="s">
        <v>595</v>
      </c>
      <c r="D3" s="645" t="s">
        <v>596</v>
      </c>
      <c r="E3" s="647" t="s">
        <v>597</v>
      </c>
      <c r="F3" s="645" t="s">
        <v>598</v>
      </c>
      <c r="G3" s="645" t="s">
        <v>599</v>
      </c>
      <c r="H3" s="649"/>
      <c r="I3" s="645" t="s">
        <v>600</v>
      </c>
      <c r="J3" s="645" t="s">
        <v>601</v>
      </c>
    </row>
    <row r="4" spans="1:12" customFormat="1" ht="25.5" x14ac:dyDescent="0.2">
      <c r="A4" s="644"/>
      <c r="B4" s="646"/>
      <c r="C4" s="648"/>
      <c r="D4" s="646"/>
      <c r="E4" s="648"/>
      <c r="F4" s="646"/>
      <c r="G4" s="495" t="s">
        <v>602</v>
      </c>
      <c r="H4" s="495" t="s">
        <v>603</v>
      </c>
      <c r="I4" s="650"/>
      <c r="J4" s="650"/>
    </row>
    <row r="5" spans="1:12" customFormat="1" x14ac:dyDescent="0.25">
      <c r="A5" s="496" t="s">
        <v>604</v>
      </c>
      <c r="B5" s="497"/>
      <c r="C5" s="497"/>
      <c r="D5" s="497"/>
      <c r="E5" s="497"/>
      <c r="F5" s="497"/>
      <c r="G5" s="495"/>
      <c r="H5" s="495"/>
      <c r="I5" s="498"/>
      <c r="J5" s="498"/>
    </row>
    <row r="6" spans="1:12" customFormat="1" x14ac:dyDescent="0.25">
      <c r="A6" s="499" t="s">
        <v>183</v>
      </c>
      <c r="B6" s="500">
        <v>247519.8</v>
      </c>
      <c r="C6" s="500">
        <v>259214.6</v>
      </c>
      <c r="D6" s="500">
        <v>259214.6</v>
      </c>
      <c r="E6" s="500">
        <v>181572.2</v>
      </c>
      <c r="F6" s="500">
        <v>203845.1</v>
      </c>
      <c r="G6" s="500">
        <f>H6-F6</f>
        <v>59636.999999999971</v>
      </c>
      <c r="H6" s="501">
        <v>263482.09999999998</v>
      </c>
      <c r="I6" s="502">
        <f>H6-D6</f>
        <v>4267.4999999999709</v>
      </c>
      <c r="J6" s="503">
        <f>H6/D6*100</f>
        <v>101.64631930454533</v>
      </c>
    </row>
    <row r="7" spans="1:12" customFormat="1" x14ac:dyDescent="0.25">
      <c r="A7" s="155" t="s">
        <v>101</v>
      </c>
      <c r="B7" s="500">
        <v>20863.2</v>
      </c>
      <c r="C7" s="500">
        <v>22060.400000000001</v>
      </c>
      <c r="D7" s="500">
        <v>22060.400000000001</v>
      </c>
      <c r="E7" s="500">
        <v>16299.3</v>
      </c>
      <c r="F7" s="500">
        <v>18102.8</v>
      </c>
      <c r="G7" s="500">
        <f t="shared" ref="G7:G14" si="0">H7-F7</f>
        <v>3957.6000000000022</v>
      </c>
      <c r="H7" s="501">
        <v>22060.400000000001</v>
      </c>
      <c r="I7" s="502">
        <f t="shared" ref="I7:I24" si="1">H7-D7</f>
        <v>0</v>
      </c>
      <c r="J7" s="503">
        <f t="shared" ref="J7:J13" si="2">H7/D7*100</f>
        <v>100</v>
      </c>
    </row>
    <row r="8" spans="1:12" customFormat="1" x14ac:dyDescent="0.25">
      <c r="A8" s="155" t="s">
        <v>102</v>
      </c>
      <c r="B8" s="500">
        <v>17378.599999999999</v>
      </c>
      <c r="C8" s="500">
        <v>18411.400000000001</v>
      </c>
      <c r="D8" s="500">
        <v>18411.400000000001</v>
      </c>
      <c r="E8" s="500">
        <v>16358.5</v>
      </c>
      <c r="F8" s="500">
        <v>20990.5</v>
      </c>
      <c r="G8" s="500">
        <f t="shared" si="0"/>
        <v>564.5</v>
      </c>
      <c r="H8" s="501">
        <v>21555</v>
      </c>
      <c r="I8" s="502">
        <f t="shared" si="1"/>
        <v>3143.5999999999985</v>
      </c>
      <c r="J8" s="503">
        <f t="shared" si="2"/>
        <v>117.07420402576662</v>
      </c>
      <c r="L8" s="546"/>
    </row>
    <row r="9" spans="1:12" customFormat="1" x14ac:dyDescent="0.25">
      <c r="A9" s="155" t="s">
        <v>163</v>
      </c>
      <c r="B9" s="500">
        <v>59.4</v>
      </c>
      <c r="C9" s="500">
        <v>0</v>
      </c>
      <c r="D9" s="500">
        <v>0</v>
      </c>
      <c r="E9" s="500">
        <v>23.4</v>
      </c>
      <c r="F9" s="500">
        <v>25.3</v>
      </c>
      <c r="G9" s="500">
        <f t="shared" si="0"/>
        <v>0</v>
      </c>
      <c r="H9" s="501">
        <v>25.3</v>
      </c>
      <c r="I9" s="502">
        <f t="shared" si="1"/>
        <v>25.3</v>
      </c>
      <c r="J9" s="503"/>
    </row>
    <row r="10" spans="1:12" customFormat="1" x14ac:dyDescent="0.25">
      <c r="A10" s="499" t="s">
        <v>12</v>
      </c>
      <c r="B10" s="500">
        <v>2446.6</v>
      </c>
      <c r="C10" s="500">
        <v>1437</v>
      </c>
      <c r="D10" s="500">
        <v>1437</v>
      </c>
      <c r="E10" s="500">
        <v>729.5</v>
      </c>
      <c r="F10" s="500">
        <v>729.5</v>
      </c>
      <c r="G10" s="500">
        <f t="shared" si="0"/>
        <v>0</v>
      </c>
      <c r="H10" s="501">
        <v>729.5</v>
      </c>
      <c r="I10" s="502">
        <f t="shared" si="1"/>
        <v>-707.5</v>
      </c>
      <c r="J10" s="503">
        <f t="shared" si="2"/>
        <v>50.765483646485734</v>
      </c>
    </row>
    <row r="11" spans="1:12" customFormat="1" ht="31.5" x14ac:dyDescent="0.25">
      <c r="A11" s="499" t="s">
        <v>605</v>
      </c>
      <c r="B11" s="500">
        <v>3255.9</v>
      </c>
      <c r="C11" s="500">
        <v>5218.5</v>
      </c>
      <c r="D11" s="500">
        <v>5218.5</v>
      </c>
      <c r="E11" s="500">
        <v>2896.3</v>
      </c>
      <c r="F11" s="500">
        <v>2950.2</v>
      </c>
      <c r="G11" s="500">
        <f t="shared" si="0"/>
        <v>4.8000000000001819</v>
      </c>
      <c r="H11" s="501">
        <v>2955</v>
      </c>
      <c r="I11" s="502">
        <f t="shared" si="1"/>
        <v>-2263.5</v>
      </c>
      <c r="J11" s="503">
        <f t="shared" si="2"/>
        <v>56.625467088243752</v>
      </c>
    </row>
    <row r="12" spans="1:12" customFormat="1" x14ac:dyDescent="0.25">
      <c r="A12" s="155" t="s">
        <v>15</v>
      </c>
      <c r="B12" s="500">
        <v>8528.1</v>
      </c>
      <c r="C12" s="500">
        <v>9663.7999999999993</v>
      </c>
      <c r="D12" s="500">
        <v>9663.7999999999993</v>
      </c>
      <c r="E12" s="500">
        <v>2697.1</v>
      </c>
      <c r="F12" s="500">
        <v>4335.1000000000004</v>
      </c>
      <c r="G12" s="500">
        <f t="shared" si="0"/>
        <v>3470.2999999999993</v>
      </c>
      <c r="H12" s="501">
        <v>7805.4</v>
      </c>
      <c r="I12" s="502">
        <f t="shared" si="1"/>
        <v>-1858.3999999999996</v>
      </c>
      <c r="J12" s="503">
        <f t="shared" si="2"/>
        <v>80.76946956683706</v>
      </c>
    </row>
    <row r="13" spans="1:12" customFormat="1" x14ac:dyDescent="0.25">
      <c r="A13" s="155" t="s">
        <v>191</v>
      </c>
      <c r="B13" s="500">
        <f>5400+11929.1</f>
        <v>17329.099999999999</v>
      </c>
      <c r="C13" s="500">
        <f>13580.6+4804.8</f>
        <v>18385.400000000001</v>
      </c>
      <c r="D13" s="500">
        <f>13580.6+4804.8</f>
        <v>18385.400000000001</v>
      </c>
      <c r="E13" s="500">
        <f>5624.8+2995.3</f>
        <v>8620.1</v>
      </c>
      <c r="F13" s="500">
        <f>7115.2+6802.7</f>
        <v>13917.9</v>
      </c>
      <c r="G13" s="500">
        <f t="shared" si="0"/>
        <v>4929.1000000000004</v>
      </c>
      <c r="H13" s="500">
        <f>12358+6489</f>
        <v>18847</v>
      </c>
      <c r="I13" s="502">
        <f t="shared" si="1"/>
        <v>461.59999999999854</v>
      </c>
      <c r="J13" s="503">
        <f t="shared" si="2"/>
        <v>102.51068782838556</v>
      </c>
    </row>
    <row r="14" spans="1:12" customFormat="1" x14ac:dyDescent="0.25">
      <c r="A14" s="155" t="s">
        <v>105</v>
      </c>
      <c r="B14" s="500">
        <v>3222.3</v>
      </c>
      <c r="C14" s="500">
        <v>9200</v>
      </c>
      <c r="D14" s="500">
        <v>9200</v>
      </c>
      <c r="E14" s="500">
        <v>3720.1</v>
      </c>
      <c r="F14" s="500">
        <v>4236.8999999999996</v>
      </c>
      <c r="G14" s="500">
        <f t="shared" si="0"/>
        <v>691.30000000000018</v>
      </c>
      <c r="H14" s="501">
        <v>4928.2</v>
      </c>
      <c r="I14" s="502">
        <f t="shared" si="1"/>
        <v>-4271.8</v>
      </c>
      <c r="J14" s="503">
        <f>H14/D14*100</f>
        <v>53.567391304347822</v>
      </c>
      <c r="K14" s="53"/>
    </row>
    <row r="15" spans="1:12" s="93" customFormat="1" ht="19.5" x14ac:dyDescent="0.35">
      <c r="A15" s="504" t="s">
        <v>145</v>
      </c>
      <c r="B15" s="505">
        <f>SUM(B6:B14)</f>
        <v>320602.99999999994</v>
      </c>
      <c r="C15" s="505">
        <f>SUM(C6:C14)</f>
        <v>343591.10000000003</v>
      </c>
      <c r="D15" s="505">
        <f>SUM(D6:D14)</f>
        <v>343591.10000000003</v>
      </c>
      <c r="E15" s="505">
        <f>SUM(E6:E14)</f>
        <v>232916.5</v>
      </c>
      <c r="F15" s="505">
        <f>SUM(F6:F14)</f>
        <v>269133.30000000005</v>
      </c>
      <c r="G15" s="506">
        <f>H15-F15</f>
        <v>73254.599999999977</v>
      </c>
      <c r="H15" s="505">
        <f>SUM(H6:H14)</f>
        <v>342387.9</v>
      </c>
      <c r="I15" s="507">
        <f t="shared" si="1"/>
        <v>-1203.2000000000116</v>
      </c>
      <c r="J15" s="508">
        <f>H15/D15*100</f>
        <v>99.649816307814717</v>
      </c>
    </row>
    <row r="16" spans="1:12" s="491" customFormat="1" x14ac:dyDescent="0.25">
      <c r="A16" s="509" t="s">
        <v>606</v>
      </c>
      <c r="B16" s="510">
        <v>124</v>
      </c>
      <c r="C16" s="511">
        <v>124</v>
      </c>
      <c r="D16" s="511">
        <v>124</v>
      </c>
      <c r="E16" s="511">
        <v>131</v>
      </c>
      <c r="F16" s="510">
        <v>131</v>
      </c>
      <c r="G16" s="510">
        <f>H16-F16</f>
        <v>0</v>
      </c>
      <c r="H16" s="512">
        <v>131</v>
      </c>
      <c r="I16" s="512">
        <f t="shared" si="1"/>
        <v>7</v>
      </c>
      <c r="J16" s="513">
        <f>H16/D16*100</f>
        <v>105.64516129032258</v>
      </c>
    </row>
    <row r="17" spans="1:12" s="491" customFormat="1" ht="31.5" x14ac:dyDescent="0.25">
      <c r="A17" s="509" t="s">
        <v>607</v>
      </c>
      <c r="B17" s="510">
        <v>0</v>
      </c>
      <c r="C17" s="511"/>
      <c r="D17" s="511">
        <v>0</v>
      </c>
      <c r="E17" s="511">
        <v>6.7</v>
      </c>
      <c r="F17" s="510">
        <v>6.8</v>
      </c>
      <c r="G17" s="510">
        <f t="shared" ref="G17:G28" si="3">H17-F17</f>
        <v>0</v>
      </c>
      <c r="H17" s="512">
        <v>6.8</v>
      </c>
      <c r="I17" s="502">
        <f t="shared" si="1"/>
        <v>6.8</v>
      </c>
      <c r="J17" s="503"/>
    </row>
    <row r="18" spans="1:12" s="491" customFormat="1" x14ac:dyDescent="0.25">
      <c r="A18" s="514" t="s">
        <v>608</v>
      </c>
      <c r="B18" s="510">
        <v>4191.8999999999996</v>
      </c>
      <c r="C18" s="511">
        <v>4283.3</v>
      </c>
      <c r="D18" s="511">
        <v>4283.3</v>
      </c>
      <c r="E18" s="511">
        <v>3240</v>
      </c>
      <c r="F18" s="510">
        <v>3725.3</v>
      </c>
      <c r="G18" s="510">
        <f t="shared" si="3"/>
        <v>558</v>
      </c>
      <c r="H18" s="512">
        <v>4283.3</v>
      </c>
      <c r="I18" s="512">
        <f t="shared" si="1"/>
        <v>0</v>
      </c>
      <c r="J18" s="513">
        <f>H18/D18*100</f>
        <v>100</v>
      </c>
    </row>
    <row r="19" spans="1:12" s="491" customFormat="1" x14ac:dyDescent="0.25">
      <c r="A19" s="514" t="s">
        <v>107</v>
      </c>
      <c r="B19" s="510">
        <v>1521.6</v>
      </c>
      <c r="C19" s="511">
        <v>1562.5</v>
      </c>
      <c r="D19" s="511">
        <v>1562.5</v>
      </c>
      <c r="E19" s="511">
        <v>1227.8</v>
      </c>
      <c r="F19" s="510">
        <v>1343.1</v>
      </c>
      <c r="G19" s="510">
        <f t="shared" si="3"/>
        <v>219.40000000000009</v>
      </c>
      <c r="H19" s="512">
        <v>1562.5</v>
      </c>
      <c r="I19" s="512">
        <f t="shared" si="1"/>
        <v>0</v>
      </c>
      <c r="J19" s="513">
        <f>H19/D19*100</f>
        <v>100</v>
      </c>
    </row>
    <row r="20" spans="1:12" s="491" customFormat="1" x14ac:dyDescent="0.25">
      <c r="A20" s="514" t="s">
        <v>609</v>
      </c>
      <c r="B20" s="510"/>
      <c r="C20" s="511">
        <v>0</v>
      </c>
      <c r="D20" s="511">
        <v>0</v>
      </c>
      <c r="E20" s="511"/>
      <c r="F20" s="510"/>
      <c r="G20" s="510">
        <f t="shared" si="3"/>
        <v>0</v>
      </c>
      <c r="H20" s="512"/>
      <c r="I20" s="512">
        <f t="shared" si="1"/>
        <v>0</v>
      </c>
      <c r="J20" s="513"/>
    </row>
    <row r="21" spans="1:12" s="491" customFormat="1" x14ac:dyDescent="0.25">
      <c r="A21" s="509" t="s">
        <v>610</v>
      </c>
      <c r="B21" s="510">
        <f>419.1+57.8+138.4</f>
        <v>615.30000000000007</v>
      </c>
      <c r="C21" s="511">
        <f>444.4+122.4</f>
        <v>566.79999999999995</v>
      </c>
      <c r="D21" s="511">
        <f>444.4+122.4</f>
        <v>566.79999999999995</v>
      </c>
      <c r="E21" s="511">
        <f>215.6+737.3+132.6</f>
        <v>1085.5</v>
      </c>
      <c r="F21" s="510">
        <f>235.3+737.3+234</f>
        <v>1206.5999999999999</v>
      </c>
      <c r="G21" s="510">
        <f t="shared" si="3"/>
        <v>97.5</v>
      </c>
      <c r="H21" s="512">
        <v>1304.0999999999999</v>
      </c>
      <c r="I21" s="512">
        <f t="shared" si="1"/>
        <v>737.3</v>
      </c>
      <c r="J21" s="513">
        <f>H21/D21*100</f>
        <v>230.08115737473537</v>
      </c>
    </row>
    <row r="22" spans="1:12" s="491" customFormat="1" x14ac:dyDescent="0.25">
      <c r="A22" s="514" t="s">
        <v>175</v>
      </c>
      <c r="B22" s="510">
        <v>487.6</v>
      </c>
      <c r="C22" s="511">
        <v>650</v>
      </c>
      <c r="D22" s="511">
        <v>650</v>
      </c>
      <c r="E22" s="511"/>
      <c r="F22" s="510"/>
      <c r="G22" s="510">
        <f t="shared" si="3"/>
        <v>150</v>
      </c>
      <c r="H22" s="512">
        <v>150</v>
      </c>
      <c r="I22" s="512">
        <f t="shared" si="1"/>
        <v>-500</v>
      </c>
      <c r="J22" s="513">
        <f>H22/D22*100</f>
        <v>23.076923076923077</v>
      </c>
    </row>
    <row r="23" spans="1:12" s="491" customFormat="1" x14ac:dyDescent="0.25">
      <c r="A23" s="514" t="s">
        <v>108</v>
      </c>
      <c r="B23" s="510">
        <v>7402.3</v>
      </c>
      <c r="C23" s="511">
        <v>4500</v>
      </c>
      <c r="D23" s="511">
        <v>4500</v>
      </c>
      <c r="E23" s="511">
        <v>2820.5</v>
      </c>
      <c r="F23" s="510">
        <v>7731.3</v>
      </c>
      <c r="G23" s="510">
        <f t="shared" si="3"/>
        <v>699.99999999999909</v>
      </c>
      <c r="H23" s="512">
        <v>8431.2999999999993</v>
      </c>
      <c r="I23" s="512">
        <f t="shared" si="1"/>
        <v>3931.2999999999993</v>
      </c>
      <c r="J23" s="513">
        <f>H23/D23*100</f>
        <v>187.36222222222221</v>
      </c>
    </row>
    <row r="24" spans="1:12" s="491" customFormat="1" ht="31.5" x14ac:dyDescent="0.25">
      <c r="A24" s="515" t="s">
        <v>611</v>
      </c>
      <c r="B24" s="510">
        <v>820</v>
      </c>
      <c r="C24" s="511">
        <v>924.8</v>
      </c>
      <c r="D24" s="511">
        <v>924.8</v>
      </c>
      <c r="E24" s="511">
        <v>556.1</v>
      </c>
      <c r="F24" s="510">
        <v>691.1</v>
      </c>
      <c r="G24" s="510">
        <f t="shared" si="3"/>
        <v>0</v>
      </c>
      <c r="H24" s="512">
        <v>691.1</v>
      </c>
      <c r="I24" s="512">
        <f t="shared" si="1"/>
        <v>-233.69999999999993</v>
      </c>
      <c r="J24" s="513">
        <f>H24/D24*100</f>
        <v>74.729671280276818</v>
      </c>
    </row>
    <row r="25" spans="1:12" s="491" customFormat="1" x14ac:dyDescent="0.25">
      <c r="A25" s="514" t="s">
        <v>177</v>
      </c>
      <c r="B25" s="510">
        <v>1439.4</v>
      </c>
      <c r="C25" s="511">
        <v>749.5</v>
      </c>
      <c r="D25" s="511">
        <v>749.5</v>
      </c>
      <c r="E25" s="511">
        <v>604.4</v>
      </c>
      <c r="F25" s="510">
        <v>645.5</v>
      </c>
      <c r="G25" s="510">
        <f t="shared" si="3"/>
        <v>160.89999999999998</v>
      </c>
      <c r="H25" s="512">
        <v>806.4</v>
      </c>
      <c r="I25" s="512">
        <f>H25-D25</f>
        <v>56.899999999999977</v>
      </c>
      <c r="J25" s="513">
        <f>H25/D25*100</f>
        <v>107.59172781854569</v>
      </c>
    </row>
    <row r="26" spans="1:12" s="491" customFormat="1" x14ac:dyDescent="0.25">
      <c r="A26" s="514" t="s">
        <v>612</v>
      </c>
      <c r="B26" s="510"/>
      <c r="C26" s="511"/>
      <c r="D26" s="511"/>
      <c r="E26" s="511"/>
      <c r="F26" s="510"/>
      <c r="G26" s="510">
        <f t="shared" si="3"/>
        <v>0</v>
      </c>
      <c r="H26" s="512"/>
      <c r="I26" s="512"/>
      <c r="J26" s="513"/>
    </row>
    <row r="27" spans="1:12" s="491" customFormat="1" x14ac:dyDescent="0.25">
      <c r="A27" s="509" t="s">
        <v>178</v>
      </c>
      <c r="B27" s="510">
        <v>0.7</v>
      </c>
      <c r="C27" s="511">
        <v>0</v>
      </c>
      <c r="D27" s="511">
        <v>0</v>
      </c>
      <c r="E27" s="511">
        <v>0.1</v>
      </c>
      <c r="F27" s="510">
        <v>0.1</v>
      </c>
      <c r="G27" s="510">
        <f t="shared" si="3"/>
        <v>0</v>
      </c>
      <c r="H27" s="512">
        <v>0.1</v>
      </c>
      <c r="I27" s="512">
        <f>H27-D27</f>
        <v>0.1</v>
      </c>
      <c r="J27" s="513"/>
    </row>
    <row r="28" spans="1:12" s="491" customFormat="1" x14ac:dyDescent="0.25">
      <c r="A28" s="509" t="s">
        <v>613</v>
      </c>
      <c r="B28" s="510">
        <v>740.9</v>
      </c>
      <c r="C28" s="511">
        <v>0</v>
      </c>
      <c r="D28" s="511">
        <v>795.6</v>
      </c>
      <c r="E28" s="511">
        <v>695.4</v>
      </c>
      <c r="F28" s="510">
        <v>695.4</v>
      </c>
      <c r="G28" s="510">
        <f t="shared" si="3"/>
        <v>0</v>
      </c>
      <c r="H28" s="512">
        <v>695.4</v>
      </c>
      <c r="I28" s="512">
        <f>H28-D28</f>
        <v>-100.20000000000005</v>
      </c>
      <c r="J28" s="513">
        <f>H28/D28*100</f>
        <v>87.405731523378577</v>
      </c>
    </row>
    <row r="29" spans="1:12" s="491" customFormat="1" x14ac:dyDescent="0.25">
      <c r="A29" s="509" t="s">
        <v>614</v>
      </c>
      <c r="B29" s="510"/>
      <c r="C29" s="511"/>
      <c r="D29" s="511"/>
      <c r="E29" s="511"/>
      <c r="F29" s="510"/>
      <c r="G29" s="510"/>
      <c r="H29" s="512"/>
      <c r="I29" s="512"/>
      <c r="J29" s="513"/>
    </row>
    <row r="30" spans="1:12" s="19" customFormat="1" ht="19.5" x14ac:dyDescent="0.35">
      <c r="A30" s="516" t="s">
        <v>146</v>
      </c>
      <c r="B30" s="517">
        <f>SUM(B16:B29)</f>
        <v>17343.700000000004</v>
      </c>
      <c r="C30" s="517">
        <f>SUM(C16:C29)</f>
        <v>13360.9</v>
      </c>
      <c r="D30" s="517">
        <f>SUM(D16:D29)</f>
        <v>14156.5</v>
      </c>
      <c r="E30" s="517">
        <f>SUM(E16:E29)</f>
        <v>10367.5</v>
      </c>
      <c r="F30" s="517">
        <f>SUM(F16:F29)</f>
        <v>16176.200000000003</v>
      </c>
      <c r="G30" s="518">
        <f>H30-F30</f>
        <v>1885.7999999999975</v>
      </c>
      <c r="H30" s="517">
        <f>H16+H17+H18+H19+H20+H21+H22+H23+H24+H25+H27+H28</f>
        <v>18062</v>
      </c>
      <c r="I30" s="517">
        <f>I16+I17+I18+I19+I20+I21+I22+I23+I24+I25+I27+I28</f>
        <v>3905.5</v>
      </c>
      <c r="J30" s="513">
        <f>H30/D30*100</f>
        <v>127.58803376540813</v>
      </c>
    </row>
    <row r="31" spans="1:12" s="491" customFormat="1" ht="19.5" x14ac:dyDescent="0.35">
      <c r="A31" s="516" t="s">
        <v>615</v>
      </c>
      <c r="B31" s="519">
        <f t="shared" ref="B31:G31" si="4">B30+B15</f>
        <v>337946.69999999995</v>
      </c>
      <c r="C31" s="505">
        <f t="shared" si="4"/>
        <v>356952.00000000006</v>
      </c>
      <c r="D31" s="505">
        <f t="shared" si="4"/>
        <v>357747.60000000003</v>
      </c>
      <c r="E31" s="505">
        <f t="shared" si="4"/>
        <v>243284</v>
      </c>
      <c r="F31" s="519">
        <f t="shared" si="4"/>
        <v>285309.50000000006</v>
      </c>
      <c r="G31" s="519">
        <f t="shared" si="4"/>
        <v>75140.39999999998</v>
      </c>
      <c r="H31" s="519">
        <f>H15+H30</f>
        <v>360449.9</v>
      </c>
      <c r="I31" s="517">
        <f t="shared" ref="I31:I45" si="5">H31-D31</f>
        <v>2702.2999999999884</v>
      </c>
      <c r="J31" s="520">
        <f>H31/D31*100</f>
        <v>100.75536495562794</v>
      </c>
      <c r="K31" s="521"/>
    </row>
    <row r="32" spans="1:12" s="19" customFormat="1" ht="19.5" x14ac:dyDescent="0.35">
      <c r="A32" s="522" t="s">
        <v>616</v>
      </c>
      <c r="B32" s="517">
        <f>B33+B37+B38+B39+B40+B41+B42+B43</f>
        <v>954227.60000000009</v>
      </c>
      <c r="C32" s="517">
        <f>C33+C37+C38+C39+C40+C41+C42+C43</f>
        <v>763388.6</v>
      </c>
      <c r="D32" s="517">
        <f>D33+D37+D38+D39+D40+D41+D42+D43</f>
        <v>871923.20000000007</v>
      </c>
      <c r="E32" s="517">
        <f>E33+E37+E38+E39+E40+E41+E42+E43</f>
        <v>608752.69999999995</v>
      </c>
      <c r="F32" s="517">
        <f t="shared" ref="F32:I32" si="6">F33+F37+F38+F39+F40+F41+F42+F43</f>
        <v>711952.00000000012</v>
      </c>
      <c r="G32" s="517">
        <f t="shared" si="6"/>
        <v>147066.70000000001</v>
      </c>
      <c r="H32" s="517">
        <f>H33+H37+H38+H39+H40+H41+H42+H43</f>
        <v>858887.4</v>
      </c>
      <c r="I32" s="517">
        <f t="shared" si="6"/>
        <v>-13035.799999999948</v>
      </c>
      <c r="J32" s="520">
        <f>H32/D32*100</f>
        <v>98.504937132077686</v>
      </c>
      <c r="K32" s="523"/>
      <c r="L32" s="216"/>
    </row>
    <row r="33" spans="1:10" s="19" customFormat="1" ht="18.75" x14ac:dyDescent="0.3">
      <c r="A33" s="524" t="s">
        <v>617</v>
      </c>
      <c r="B33" s="512">
        <f>B34+B35</f>
        <v>272724.8</v>
      </c>
      <c r="C33" s="512">
        <f t="shared" ref="C33:J33" si="7">C34+C35</f>
        <v>310018.5</v>
      </c>
      <c r="D33" s="512">
        <f t="shared" si="7"/>
        <v>310018.5</v>
      </c>
      <c r="E33" s="512">
        <f t="shared" si="7"/>
        <v>209262.5</v>
      </c>
      <c r="F33" s="512">
        <f t="shared" si="7"/>
        <v>232513.90000000002</v>
      </c>
      <c r="G33" s="512">
        <f t="shared" si="7"/>
        <v>46502.799999999981</v>
      </c>
      <c r="H33" s="512">
        <f t="shared" si="7"/>
        <v>279016.7</v>
      </c>
      <c r="I33" s="512">
        <f t="shared" si="7"/>
        <v>-31001.799999999996</v>
      </c>
      <c r="J33" s="512">
        <f t="shared" si="7"/>
        <v>180.00013809698737</v>
      </c>
    </row>
    <row r="34" spans="1:10" s="19" customFormat="1" x14ac:dyDescent="0.25">
      <c r="A34" s="525" t="s">
        <v>618</v>
      </c>
      <c r="B34" s="526">
        <v>183621.3</v>
      </c>
      <c r="C34" s="527">
        <v>261984.8</v>
      </c>
      <c r="D34" s="527">
        <v>261984.8</v>
      </c>
      <c r="E34" s="527">
        <v>176839.7</v>
      </c>
      <c r="F34" s="526">
        <v>196488.6</v>
      </c>
      <c r="G34" s="526">
        <f>H34-F34</f>
        <v>39297.699999999983</v>
      </c>
      <c r="H34" s="527">
        <v>235786.3</v>
      </c>
      <c r="I34" s="528">
        <f t="shared" si="5"/>
        <v>-26198.5</v>
      </c>
      <c r="J34" s="529">
        <f>H34/D34*100</f>
        <v>89.999992365969334</v>
      </c>
    </row>
    <row r="35" spans="1:10" s="491" customFormat="1" ht="31.5" x14ac:dyDescent="0.25">
      <c r="A35" s="525" t="s">
        <v>619</v>
      </c>
      <c r="B35" s="526">
        <v>89103.5</v>
      </c>
      <c r="C35" s="527">
        <v>48033.7</v>
      </c>
      <c r="D35" s="527">
        <v>48033.7</v>
      </c>
      <c r="E35" s="527">
        <v>32422.799999999999</v>
      </c>
      <c r="F35" s="526">
        <v>36025.300000000003</v>
      </c>
      <c r="G35" s="526">
        <f>H35-F35</f>
        <v>7205.0999999999985</v>
      </c>
      <c r="H35" s="527">
        <v>43230.400000000001</v>
      </c>
      <c r="I35" s="526">
        <f t="shared" si="5"/>
        <v>-4803.2999999999956</v>
      </c>
      <c r="J35" s="529">
        <f>H35/D35*100</f>
        <v>90.000145731018023</v>
      </c>
    </row>
    <row r="36" spans="1:10" s="491" customFormat="1" hidden="1" x14ac:dyDescent="0.25">
      <c r="A36" s="530" t="s">
        <v>620</v>
      </c>
      <c r="B36" s="512">
        <v>0</v>
      </c>
      <c r="C36" s="501"/>
      <c r="D36" s="501"/>
      <c r="E36" s="501"/>
      <c r="F36" s="512"/>
      <c r="G36" s="510"/>
      <c r="H36" s="501"/>
      <c r="I36" s="517">
        <f t="shared" si="5"/>
        <v>0</v>
      </c>
      <c r="J36" s="513"/>
    </row>
    <row r="37" spans="1:10" s="19" customFormat="1" ht="31.5" x14ac:dyDescent="0.25">
      <c r="A37" s="531" t="s">
        <v>621</v>
      </c>
      <c r="B37" s="512">
        <v>244240.5</v>
      </c>
      <c r="C37" s="501">
        <v>43847</v>
      </c>
      <c r="D37" s="512">
        <v>131850.4</v>
      </c>
      <c r="E37" s="512">
        <v>74634.100000000006</v>
      </c>
      <c r="F37" s="512">
        <v>96598.3</v>
      </c>
      <c r="G37" s="512">
        <f>H37-F37</f>
        <v>38328.099999999991</v>
      </c>
      <c r="H37" s="512">
        <v>134926.39999999999</v>
      </c>
      <c r="I37" s="512">
        <f t="shared" si="5"/>
        <v>3076</v>
      </c>
      <c r="J37" s="513">
        <f t="shared" ref="J37:J58" si="8">H37/D37*100</f>
        <v>102.33294703694492</v>
      </c>
    </row>
    <row r="38" spans="1:10" s="19" customFormat="1" ht="31.5" x14ac:dyDescent="0.25">
      <c r="A38" s="531" t="s">
        <v>622</v>
      </c>
      <c r="B38" s="512">
        <v>392507</v>
      </c>
      <c r="C38" s="501">
        <v>409416.1</v>
      </c>
      <c r="D38" s="512">
        <v>414612.1</v>
      </c>
      <c r="E38" s="512">
        <v>298479.59999999998</v>
      </c>
      <c r="F38" s="512">
        <v>352287.6</v>
      </c>
      <c r="G38" s="512">
        <f>H38-F38</f>
        <v>61740.300000000047</v>
      </c>
      <c r="H38" s="512">
        <v>414027.9</v>
      </c>
      <c r="I38" s="512">
        <f t="shared" si="5"/>
        <v>-584.19999999995343</v>
      </c>
      <c r="J38" s="513">
        <f t="shared" si="8"/>
        <v>99.859097213998353</v>
      </c>
    </row>
    <row r="39" spans="1:10" s="19" customFormat="1" x14ac:dyDescent="0.25">
      <c r="A39" s="532" t="s">
        <v>143</v>
      </c>
      <c r="B39" s="512">
        <v>46473</v>
      </c>
      <c r="C39" s="501">
        <v>107</v>
      </c>
      <c r="D39" s="512">
        <v>15303.3</v>
      </c>
      <c r="E39" s="512">
        <v>26237.599999999999</v>
      </c>
      <c r="F39" s="512">
        <v>30413.3</v>
      </c>
      <c r="G39" s="510">
        <f t="shared" ref="G39" si="9">H39-F39</f>
        <v>495.5</v>
      </c>
      <c r="H39" s="512">
        <v>30908.799999999999</v>
      </c>
      <c r="I39" s="512">
        <f t="shared" si="5"/>
        <v>15605.5</v>
      </c>
      <c r="J39" s="513">
        <f t="shared" si="8"/>
        <v>201.97473747492373</v>
      </c>
    </row>
    <row r="40" spans="1:10" s="19" customFormat="1" hidden="1" x14ac:dyDescent="0.25">
      <c r="A40" s="509"/>
      <c r="B40" s="512">
        <v>0</v>
      </c>
      <c r="C40" s="501"/>
      <c r="D40" s="512"/>
      <c r="E40" s="512"/>
      <c r="F40" s="512"/>
      <c r="G40" s="510"/>
      <c r="H40" s="533"/>
      <c r="I40" s="512"/>
      <c r="J40" s="513"/>
    </row>
    <row r="41" spans="1:10" s="19" customFormat="1" ht="47.25" x14ac:dyDescent="0.25">
      <c r="A41" s="509" t="s">
        <v>623</v>
      </c>
      <c r="B41" s="512"/>
      <c r="C41" s="501"/>
      <c r="D41" s="512"/>
      <c r="E41" s="512"/>
      <c r="F41" s="512">
        <v>131.19999999999999</v>
      </c>
      <c r="G41" s="510">
        <v>131.19999999999999</v>
      </c>
      <c r="H41" s="533">
        <v>131.19999999999999</v>
      </c>
      <c r="I41" s="512">
        <f t="shared" si="5"/>
        <v>131.19999999999999</v>
      </c>
      <c r="J41" s="513"/>
    </row>
    <row r="42" spans="1:10" s="19" customFormat="1" ht="47.25" x14ac:dyDescent="0.25">
      <c r="A42" s="509" t="s">
        <v>624</v>
      </c>
      <c r="B42" s="512">
        <v>989.8</v>
      </c>
      <c r="C42" s="501"/>
      <c r="D42" s="512">
        <v>736.4</v>
      </c>
      <c r="E42" s="512">
        <v>736.4</v>
      </c>
      <c r="F42" s="512">
        <v>736.4</v>
      </c>
      <c r="G42" s="510"/>
      <c r="H42" s="512">
        <v>736.3</v>
      </c>
      <c r="I42" s="512">
        <f t="shared" si="5"/>
        <v>-0.10000000000002274</v>
      </c>
      <c r="J42" s="513">
        <f t="shared" si="8"/>
        <v>99.986420423682773</v>
      </c>
    </row>
    <row r="43" spans="1:10" s="19" customFormat="1" ht="31.5" x14ac:dyDescent="0.25">
      <c r="A43" s="509" t="s">
        <v>625</v>
      </c>
      <c r="B43" s="512">
        <v>-2707.5</v>
      </c>
      <c r="C43" s="501"/>
      <c r="D43" s="512">
        <v>-597.5</v>
      </c>
      <c r="E43" s="512">
        <v>-597.5</v>
      </c>
      <c r="F43" s="512">
        <v>-728.7</v>
      </c>
      <c r="G43" s="510">
        <v>-131.19999999999999</v>
      </c>
      <c r="H43" s="533">
        <f>F43+G43</f>
        <v>-859.90000000000009</v>
      </c>
      <c r="I43" s="512">
        <f t="shared" si="5"/>
        <v>-262.40000000000009</v>
      </c>
      <c r="J43" s="513">
        <f t="shared" si="8"/>
        <v>143.91631799163181</v>
      </c>
    </row>
    <row r="44" spans="1:10" s="19" customFormat="1" ht="47.25" x14ac:dyDescent="0.25">
      <c r="A44" s="509" t="s">
        <v>626</v>
      </c>
      <c r="B44" s="512"/>
      <c r="C44" s="501"/>
      <c r="D44" s="512"/>
      <c r="E44" s="512"/>
      <c r="F44" s="512"/>
      <c r="G44" s="510"/>
      <c r="H44" s="533"/>
      <c r="I44" s="512"/>
      <c r="J44" s="513"/>
    </row>
    <row r="45" spans="1:10" s="19" customFormat="1" ht="19.5" x14ac:dyDescent="0.35">
      <c r="A45" s="516" t="s">
        <v>386</v>
      </c>
      <c r="B45" s="517">
        <f t="shared" ref="B45:G45" si="10">B32+B31</f>
        <v>1292174.3</v>
      </c>
      <c r="C45" s="517">
        <f t="shared" si="10"/>
        <v>1120340.6000000001</v>
      </c>
      <c r="D45" s="517">
        <f t="shared" si="10"/>
        <v>1229670.8</v>
      </c>
      <c r="E45" s="517">
        <f>E32+E31+E44</f>
        <v>852036.7</v>
      </c>
      <c r="F45" s="517">
        <f>F32+F31+F44</f>
        <v>997261.50000000023</v>
      </c>
      <c r="G45" s="517">
        <f t="shared" si="10"/>
        <v>222207.09999999998</v>
      </c>
      <c r="H45" s="517">
        <f>H31+H32</f>
        <v>1219337.3</v>
      </c>
      <c r="I45" s="517">
        <f t="shared" si="5"/>
        <v>-10333.5</v>
      </c>
      <c r="J45" s="520">
        <f t="shared" si="8"/>
        <v>99.159653136432937</v>
      </c>
    </row>
    <row r="46" spans="1:10" x14ac:dyDescent="0.25">
      <c r="A46" s="496" t="s">
        <v>627</v>
      </c>
      <c r="B46" s="534"/>
      <c r="C46" s="534"/>
      <c r="D46" s="534"/>
      <c r="E46" s="534"/>
      <c r="F46" s="534"/>
      <c r="G46" s="534"/>
      <c r="H46" s="534"/>
      <c r="I46" s="534"/>
      <c r="J46" s="534"/>
    </row>
    <row r="47" spans="1:10" s="537" customFormat="1" x14ac:dyDescent="0.25">
      <c r="A47" s="535" t="s">
        <v>628</v>
      </c>
      <c r="B47" s="536">
        <v>91685.6</v>
      </c>
      <c r="C47" s="536">
        <v>94495.3</v>
      </c>
      <c r="D47" s="536">
        <v>109399.1</v>
      </c>
      <c r="E47" s="536">
        <v>64546</v>
      </c>
      <c r="F47" s="536">
        <v>78101.3</v>
      </c>
      <c r="G47" s="536">
        <v>31297.8</v>
      </c>
      <c r="H47" s="536">
        <f>SUM(F47:G47)</f>
        <v>109399.1</v>
      </c>
      <c r="I47" s="536">
        <f>H47-D47</f>
        <v>0</v>
      </c>
      <c r="J47" s="513">
        <f t="shared" si="8"/>
        <v>100</v>
      </c>
    </row>
    <row r="48" spans="1:10" s="537" customFormat="1" ht="31.5" x14ac:dyDescent="0.25">
      <c r="A48" s="538" t="s">
        <v>629</v>
      </c>
      <c r="B48" s="539">
        <v>33405.300000000003</v>
      </c>
      <c r="C48" s="539">
        <v>38874.699999999997</v>
      </c>
      <c r="D48" s="536">
        <v>42786.5</v>
      </c>
      <c r="E48" s="536">
        <v>28868.3</v>
      </c>
      <c r="F48" s="536">
        <v>31999.1</v>
      </c>
      <c r="G48" s="536">
        <v>10787.4</v>
      </c>
      <c r="H48" s="536">
        <f t="shared" ref="H48:H57" si="11">SUM(F48:G48)</f>
        <v>42786.5</v>
      </c>
      <c r="I48" s="536">
        <f t="shared" ref="I48:I58" si="12">H48-D48</f>
        <v>0</v>
      </c>
      <c r="J48" s="513">
        <f t="shared" si="8"/>
        <v>100</v>
      </c>
    </row>
    <row r="49" spans="1:13" s="537" customFormat="1" ht="21" customHeight="1" x14ac:dyDescent="0.25">
      <c r="A49" s="535" t="s">
        <v>630</v>
      </c>
      <c r="B49" s="536">
        <v>99884</v>
      </c>
      <c r="C49" s="536">
        <v>83365.2</v>
      </c>
      <c r="D49" s="536">
        <v>109085.6</v>
      </c>
      <c r="E49" s="536">
        <v>71057.2</v>
      </c>
      <c r="F49" s="536">
        <v>73540.100000000006</v>
      </c>
      <c r="G49" s="536">
        <v>35545.5</v>
      </c>
      <c r="H49" s="536">
        <f t="shared" si="11"/>
        <v>109085.6</v>
      </c>
      <c r="I49" s="536">
        <f t="shared" si="12"/>
        <v>0</v>
      </c>
      <c r="J49" s="513">
        <f t="shared" si="8"/>
        <v>100</v>
      </c>
    </row>
    <row r="50" spans="1:13" s="537" customFormat="1" ht="21" customHeight="1" x14ac:dyDescent="0.25">
      <c r="A50" s="535" t="s">
        <v>631</v>
      </c>
      <c r="B50" s="536">
        <v>156405.20000000001</v>
      </c>
      <c r="C50" s="536">
        <v>62843</v>
      </c>
      <c r="D50" s="536">
        <v>103448.2</v>
      </c>
      <c r="E50" s="536">
        <v>49010.3</v>
      </c>
      <c r="F50" s="536">
        <v>83155.199999999997</v>
      </c>
      <c r="G50" s="536">
        <v>20293</v>
      </c>
      <c r="H50" s="536">
        <f t="shared" si="11"/>
        <v>103448.2</v>
      </c>
      <c r="I50" s="536">
        <f t="shared" si="12"/>
        <v>0</v>
      </c>
      <c r="J50" s="513">
        <f t="shared" si="8"/>
        <v>100</v>
      </c>
    </row>
    <row r="51" spans="1:13" s="537" customFormat="1" ht="21" customHeight="1" x14ac:dyDescent="0.25">
      <c r="A51" s="535" t="s">
        <v>632</v>
      </c>
      <c r="B51" s="536">
        <v>84.5</v>
      </c>
      <c r="C51" s="536">
        <v>87.7</v>
      </c>
      <c r="D51" s="536">
        <v>8241.7000000000007</v>
      </c>
      <c r="E51" s="536">
        <v>9.4</v>
      </c>
      <c r="F51" s="536">
        <v>34.299999999999997</v>
      </c>
      <c r="G51" s="536">
        <v>8207.4</v>
      </c>
      <c r="H51" s="536">
        <f t="shared" si="11"/>
        <v>8241.6999999999989</v>
      </c>
      <c r="I51" s="536">
        <f t="shared" si="12"/>
        <v>0</v>
      </c>
      <c r="J51" s="513">
        <f t="shared" si="8"/>
        <v>99.999999999999972</v>
      </c>
    </row>
    <row r="52" spans="1:13" s="537" customFormat="1" ht="21" customHeight="1" x14ac:dyDescent="0.25">
      <c r="A52" s="535" t="s">
        <v>633</v>
      </c>
      <c r="B52" s="536">
        <v>931697.7</v>
      </c>
      <c r="C52" s="536">
        <v>618356.5</v>
      </c>
      <c r="D52" s="536">
        <v>675599.7</v>
      </c>
      <c r="E52" s="536">
        <v>442307</v>
      </c>
      <c r="F52" s="536">
        <v>489833</v>
      </c>
      <c r="G52" s="536">
        <v>185766.7</v>
      </c>
      <c r="H52" s="536">
        <f t="shared" si="11"/>
        <v>675599.7</v>
      </c>
      <c r="I52" s="536">
        <f t="shared" si="12"/>
        <v>0</v>
      </c>
      <c r="J52" s="513">
        <f t="shared" si="8"/>
        <v>100</v>
      </c>
    </row>
    <row r="53" spans="1:13" s="537" customFormat="1" ht="21" customHeight="1" x14ac:dyDescent="0.25">
      <c r="A53" s="535" t="s">
        <v>634</v>
      </c>
      <c r="B53" s="536">
        <v>116134.5</v>
      </c>
      <c r="C53" s="536">
        <v>107741.3</v>
      </c>
      <c r="D53" s="536">
        <v>112905.1</v>
      </c>
      <c r="E53" s="536">
        <v>79520.899999999994</v>
      </c>
      <c r="F53" s="536">
        <v>89041.7</v>
      </c>
      <c r="G53" s="536">
        <v>23863.4</v>
      </c>
      <c r="H53" s="536">
        <f t="shared" si="11"/>
        <v>112905.1</v>
      </c>
      <c r="I53" s="536">
        <f t="shared" si="12"/>
        <v>0</v>
      </c>
      <c r="J53" s="513">
        <f t="shared" si="8"/>
        <v>100</v>
      </c>
    </row>
    <row r="54" spans="1:13" s="537" customFormat="1" ht="21" customHeight="1" x14ac:dyDescent="0.25">
      <c r="A54" s="535" t="s">
        <v>635</v>
      </c>
      <c r="B54" s="536">
        <v>25371.9</v>
      </c>
      <c r="C54" s="536">
        <v>54027.9</v>
      </c>
      <c r="D54" s="536">
        <v>45909.7</v>
      </c>
      <c r="E54" s="536">
        <v>20827.900000000001</v>
      </c>
      <c r="F54" s="536">
        <v>21975</v>
      </c>
      <c r="G54" s="536">
        <v>23934.7</v>
      </c>
      <c r="H54" s="536">
        <f t="shared" si="11"/>
        <v>45909.7</v>
      </c>
      <c r="I54" s="536">
        <f t="shared" si="12"/>
        <v>0</v>
      </c>
      <c r="J54" s="513">
        <f t="shared" si="8"/>
        <v>100</v>
      </c>
    </row>
    <row r="55" spans="1:13" s="537" customFormat="1" ht="21" customHeight="1" x14ac:dyDescent="0.25">
      <c r="A55" s="535" t="s">
        <v>636</v>
      </c>
      <c r="B55" s="536">
        <v>61566.400000000001</v>
      </c>
      <c r="C55" s="536">
        <v>59471.9</v>
      </c>
      <c r="D55" s="536">
        <v>101995.4</v>
      </c>
      <c r="E55" s="536">
        <v>61669.1</v>
      </c>
      <c r="F55" s="536">
        <v>77694.7</v>
      </c>
      <c r="G55" s="536">
        <v>24300.7</v>
      </c>
      <c r="H55" s="536">
        <f t="shared" si="11"/>
        <v>101995.4</v>
      </c>
      <c r="I55" s="536">
        <f t="shared" si="12"/>
        <v>0</v>
      </c>
      <c r="J55" s="513">
        <f t="shared" si="8"/>
        <v>100</v>
      </c>
    </row>
    <row r="56" spans="1:13" s="537" customFormat="1" ht="21" customHeight="1" x14ac:dyDescent="0.25">
      <c r="A56" s="535" t="s">
        <v>637</v>
      </c>
      <c r="B56" s="536">
        <v>2624.2</v>
      </c>
      <c r="C56" s="536">
        <v>2982</v>
      </c>
      <c r="D56" s="536">
        <v>2982</v>
      </c>
      <c r="E56" s="536">
        <v>2157.6999999999998</v>
      </c>
      <c r="F56" s="536">
        <v>2416.8000000000002</v>
      </c>
      <c r="G56" s="536">
        <v>565.20000000000005</v>
      </c>
      <c r="H56" s="536">
        <f t="shared" si="11"/>
        <v>2982</v>
      </c>
      <c r="I56" s="536">
        <f t="shared" si="12"/>
        <v>0</v>
      </c>
      <c r="J56" s="513">
        <f t="shared" si="8"/>
        <v>100</v>
      </c>
    </row>
    <row r="57" spans="1:13" s="537" customFormat="1" ht="36" customHeight="1" x14ac:dyDescent="0.25">
      <c r="A57" s="538" t="s">
        <v>638</v>
      </c>
      <c r="B57" s="536">
        <v>0.5</v>
      </c>
      <c r="C57" s="536">
        <v>3.8</v>
      </c>
      <c r="D57" s="536">
        <v>3.8</v>
      </c>
      <c r="E57" s="536">
        <v>2.9</v>
      </c>
      <c r="F57" s="536">
        <v>3.2</v>
      </c>
      <c r="G57" s="536">
        <v>0.6</v>
      </c>
      <c r="H57" s="536">
        <f t="shared" si="11"/>
        <v>3.8000000000000003</v>
      </c>
      <c r="I57" s="536">
        <f t="shared" si="12"/>
        <v>0</v>
      </c>
      <c r="J57" s="513">
        <f t="shared" si="8"/>
        <v>100.00000000000003</v>
      </c>
    </row>
    <row r="58" spans="1:13" s="542" customFormat="1" ht="25.5" customHeight="1" x14ac:dyDescent="0.25">
      <c r="A58" s="540" t="s">
        <v>639</v>
      </c>
      <c r="B58" s="541">
        <f>SUM(B47:B57)</f>
        <v>1518859.7999999998</v>
      </c>
      <c r="C58" s="541">
        <f>SUM(C47:C57)</f>
        <v>1122249.3</v>
      </c>
      <c r="D58" s="541">
        <f>SUM(D47:D57)</f>
        <v>1312356.8</v>
      </c>
      <c r="E58" s="541">
        <f>SUM(E47:E57)</f>
        <v>819976.7</v>
      </c>
      <c r="F58" s="541">
        <f t="shared" ref="F58:H58" si="13">SUM(F47:F57)</f>
        <v>947794.39999999991</v>
      </c>
      <c r="G58" s="541">
        <f t="shared" si="13"/>
        <v>364562.4</v>
      </c>
      <c r="H58" s="541">
        <f t="shared" si="13"/>
        <v>1312356.8</v>
      </c>
      <c r="I58" s="541">
        <f t="shared" si="12"/>
        <v>0</v>
      </c>
      <c r="J58" s="520">
        <f t="shared" si="8"/>
        <v>100</v>
      </c>
      <c r="M58" s="543"/>
    </row>
    <row r="59" spans="1:13" s="542" customFormat="1" ht="21" customHeight="1" x14ac:dyDescent="0.25">
      <c r="A59" s="540" t="s">
        <v>640</v>
      </c>
      <c r="B59" s="541">
        <f>B45-B58</f>
        <v>-226685.49999999977</v>
      </c>
      <c r="C59" s="541">
        <f>C45-C58</f>
        <v>-1908.6999999999534</v>
      </c>
      <c r="D59" s="541">
        <f>-D60</f>
        <v>-12882.4</v>
      </c>
      <c r="E59" s="541">
        <f>E45-E58</f>
        <v>32060</v>
      </c>
      <c r="F59" s="541">
        <f>F45-F58</f>
        <v>49467.100000000326</v>
      </c>
      <c r="G59" s="541"/>
      <c r="H59" s="541">
        <f>H45-H58</f>
        <v>-93019.5</v>
      </c>
      <c r="I59" s="541"/>
      <c r="J59" s="541"/>
    </row>
    <row r="60" spans="1:13" s="542" customFormat="1" ht="21" customHeight="1" x14ac:dyDescent="0.25">
      <c r="A60" s="540" t="s">
        <v>641</v>
      </c>
      <c r="B60" s="541">
        <f>-B59</f>
        <v>226685.49999999977</v>
      </c>
      <c r="C60" s="541">
        <f>-C59</f>
        <v>1908.6999999999534</v>
      </c>
      <c r="D60" s="541">
        <v>12882.4</v>
      </c>
      <c r="E60" s="541">
        <f>-E59</f>
        <v>-32060</v>
      </c>
      <c r="F60" s="541">
        <f>-F59</f>
        <v>-49467.100000000326</v>
      </c>
      <c r="G60" s="541"/>
      <c r="H60" s="541">
        <f>-H59</f>
        <v>93019.5</v>
      </c>
      <c r="I60" s="541"/>
      <c r="J60" s="541"/>
    </row>
    <row r="61" spans="1:13" s="542" customFormat="1" ht="31.5" x14ac:dyDescent="0.25">
      <c r="A61" s="538" t="s">
        <v>642</v>
      </c>
      <c r="B61" s="536">
        <v>3800</v>
      </c>
      <c r="C61" s="536">
        <v>0</v>
      </c>
      <c r="D61" s="536">
        <v>0</v>
      </c>
      <c r="E61" s="536">
        <v>0</v>
      </c>
      <c r="F61" s="536">
        <v>0</v>
      </c>
      <c r="G61" s="536"/>
      <c r="H61" s="536">
        <f>SUM(F61:G61)</f>
        <v>0</v>
      </c>
      <c r="I61" s="536">
        <f t="shared" ref="I61" si="14">H61-D61</f>
        <v>0</v>
      </c>
      <c r="J61" s="513">
        <v>0</v>
      </c>
    </row>
    <row r="62" spans="1:13" s="542" customFormat="1" ht="63" x14ac:dyDescent="0.25">
      <c r="A62" s="538" t="s">
        <v>643</v>
      </c>
      <c r="B62" s="536">
        <v>10000</v>
      </c>
      <c r="C62" s="536"/>
      <c r="D62" s="536">
        <v>0</v>
      </c>
      <c r="E62" s="536">
        <v>-10000</v>
      </c>
      <c r="F62" s="536">
        <v>-10000</v>
      </c>
      <c r="G62" s="536"/>
      <c r="H62" s="536">
        <v>-10000</v>
      </c>
      <c r="I62" s="536"/>
      <c r="J62" s="513"/>
    </row>
    <row r="63" spans="1:13" s="537" customFormat="1" ht="21" customHeight="1" x14ac:dyDescent="0.25">
      <c r="A63" s="535" t="s">
        <v>644</v>
      </c>
      <c r="B63" s="536">
        <f>B60</f>
        <v>226685.49999999977</v>
      </c>
      <c r="C63" s="536">
        <f>C60</f>
        <v>1908.6999999999534</v>
      </c>
      <c r="D63" s="536">
        <f>D45-D58</f>
        <v>-82686</v>
      </c>
      <c r="E63" s="536">
        <f>E60-E61-E62</f>
        <v>-22060</v>
      </c>
      <c r="F63" s="536">
        <f>F60-F61-F62</f>
        <v>-39467.100000000326</v>
      </c>
      <c r="G63" s="536"/>
      <c r="H63" s="536">
        <f>H60-H61-H62</f>
        <v>103019.5</v>
      </c>
      <c r="I63" s="536"/>
      <c r="J63" s="536"/>
    </row>
    <row r="64" spans="1:13" s="537" customFormat="1" ht="21" customHeight="1" x14ac:dyDescent="0.25">
      <c r="A64" s="535" t="s">
        <v>645</v>
      </c>
      <c r="B64" s="536"/>
      <c r="C64" s="536"/>
      <c r="D64" s="536"/>
      <c r="E64" s="536"/>
      <c r="F64" s="536"/>
      <c r="G64" s="536"/>
      <c r="H64" s="536"/>
      <c r="I64" s="536"/>
      <c r="J64" s="536"/>
    </row>
    <row r="65" spans="4:8" s="492" customFormat="1" x14ac:dyDescent="0.25">
      <c r="D65" s="544">
        <f>D45-D58-D59</f>
        <v>-69803.600000000006</v>
      </c>
      <c r="E65" s="544"/>
      <c r="F65" s="545"/>
      <c r="G65" s="545"/>
      <c r="H65" s="544"/>
    </row>
  </sheetData>
  <mergeCells count="10">
    <mergeCell ref="A1:J1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0866141732283472" right="0.70866141732283472" top="0.15748031496062992" bottom="0.35433070866141736" header="0.31496062992125984" footer="0.31496062992125984"/>
  <pageSetup paperSize="9" scale="4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opLeftCell="B1" workbookViewId="0">
      <selection activeCell="V6" sqref="V6"/>
    </sheetView>
  </sheetViews>
  <sheetFormatPr defaultRowHeight="12.75" x14ac:dyDescent="0.2"/>
  <cols>
    <col min="1" max="1" width="9.7109375" hidden="1" customWidth="1"/>
    <col min="2" max="2" width="28.42578125" customWidth="1"/>
    <col min="3" max="3" width="16" hidden="1" customWidth="1"/>
    <col min="4" max="4" width="14.5703125" hidden="1" customWidth="1"/>
    <col min="5" max="6" width="15.5703125" hidden="1" customWidth="1"/>
    <col min="7" max="8" width="14.7109375" hidden="1" customWidth="1"/>
    <col min="9" max="9" width="13.7109375" hidden="1" customWidth="1"/>
    <col min="10" max="10" width="20.28515625" hidden="1" customWidth="1"/>
    <col min="11" max="11" width="21.140625" customWidth="1"/>
    <col min="12" max="12" width="24.85546875" customWidth="1"/>
    <col min="13" max="13" width="18.42578125" customWidth="1"/>
    <col min="14" max="14" width="14.7109375" customWidth="1"/>
  </cols>
  <sheetData>
    <row r="1" spans="1:14" ht="18.75" x14ac:dyDescent="0.3">
      <c r="A1" s="276"/>
      <c r="B1" s="271"/>
      <c r="C1" s="271" t="s">
        <v>682</v>
      </c>
      <c r="D1" s="271" t="s">
        <v>683</v>
      </c>
      <c r="E1" s="271" t="s">
        <v>682</v>
      </c>
      <c r="F1" s="271" t="s">
        <v>683</v>
      </c>
      <c r="G1" s="271" t="s">
        <v>682</v>
      </c>
      <c r="H1" s="271" t="s">
        <v>683</v>
      </c>
      <c r="I1" s="271" t="s">
        <v>682</v>
      </c>
      <c r="J1" s="271" t="s">
        <v>695</v>
      </c>
      <c r="K1" s="271" t="s">
        <v>694</v>
      </c>
      <c r="L1" s="271" t="s">
        <v>696</v>
      </c>
      <c r="M1" s="271" t="s">
        <v>698</v>
      </c>
      <c r="N1" s="271" t="s">
        <v>697</v>
      </c>
    </row>
    <row r="2" spans="1:14" ht="18.75" x14ac:dyDescent="0.3">
      <c r="A2" s="277">
        <v>1</v>
      </c>
      <c r="B2" s="612" t="s">
        <v>386</v>
      </c>
      <c r="C2" s="613" t="e">
        <f>#REF!+C3</f>
        <v>#REF!</v>
      </c>
      <c r="D2" s="613" t="e">
        <f>#REF!+D3</f>
        <v>#REF!</v>
      </c>
      <c r="E2" s="613" t="e">
        <f>#REF!+E3</f>
        <v>#REF!</v>
      </c>
      <c r="F2" s="613" t="e">
        <f>#REF!+F3</f>
        <v>#REF!</v>
      </c>
      <c r="G2" s="614" t="e">
        <f>#REF!+G3</f>
        <v>#REF!</v>
      </c>
      <c r="H2" s="614" t="e">
        <f>#REF!+H3</f>
        <v>#REF!</v>
      </c>
      <c r="I2" s="615" t="e">
        <f>#REF!+I3</f>
        <v>#REF!</v>
      </c>
      <c r="J2" s="615">
        <v>1481025.5</v>
      </c>
      <c r="K2" s="624">
        <v>1292174.3</v>
      </c>
      <c r="L2" s="624">
        <v>1230865.5</v>
      </c>
      <c r="M2" s="624">
        <v>1135330.8999999999</v>
      </c>
      <c r="N2" s="624">
        <v>1171058.3</v>
      </c>
    </row>
    <row r="3" spans="1:14" ht="18.75" x14ac:dyDescent="0.3">
      <c r="A3" s="279" t="s">
        <v>390</v>
      </c>
      <c r="B3" s="612" t="s">
        <v>388</v>
      </c>
      <c r="C3" s="613">
        <v>519790.1</v>
      </c>
      <c r="D3" s="613">
        <v>510898</v>
      </c>
      <c r="E3" s="613">
        <v>533747.6</v>
      </c>
      <c r="F3" s="613">
        <v>519784.1</v>
      </c>
      <c r="G3" s="614">
        <v>694814.2</v>
      </c>
      <c r="H3" s="614">
        <v>675541.1</v>
      </c>
      <c r="I3" s="615">
        <v>1261428.8999999999</v>
      </c>
      <c r="J3" s="615">
        <v>1207341.8</v>
      </c>
      <c r="K3" s="624">
        <v>954227.6</v>
      </c>
      <c r="L3" s="630">
        <v>857058.8</v>
      </c>
      <c r="M3" s="630">
        <v>749388.6</v>
      </c>
      <c r="N3" s="630">
        <v>750623.3</v>
      </c>
    </row>
    <row r="4" spans="1:14" ht="18.75" x14ac:dyDescent="0.3">
      <c r="A4" s="279"/>
      <c r="B4" s="274" t="s">
        <v>692</v>
      </c>
      <c r="C4" s="603"/>
      <c r="D4" s="603"/>
      <c r="E4" s="603"/>
      <c r="F4" s="603"/>
      <c r="G4" s="604">
        <v>324.10000000000002</v>
      </c>
      <c r="H4" s="604">
        <v>324.10000000000002</v>
      </c>
      <c r="I4" s="605">
        <v>309.60000000000002</v>
      </c>
      <c r="J4" s="605">
        <v>213910</v>
      </c>
      <c r="K4" s="625">
        <v>247519.8</v>
      </c>
      <c r="L4" s="625">
        <v>268936.5</v>
      </c>
      <c r="M4" s="625">
        <v>286425.90000000002</v>
      </c>
      <c r="N4" s="625">
        <v>310193.90000000002</v>
      </c>
    </row>
    <row r="5" spans="1:14" ht="18.75" x14ac:dyDescent="0.3">
      <c r="A5" s="279"/>
      <c r="B5" s="274" t="s">
        <v>693</v>
      </c>
      <c r="C5" s="603"/>
      <c r="D5" s="603"/>
      <c r="E5" s="603"/>
      <c r="F5" s="603"/>
      <c r="G5" s="604"/>
      <c r="H5" s="604"/>
      <c r="I5" s="605"/>
      <c r="J5" s="605">
        <v>262.10000000000002</v>
      </c>
      <c r="K5" s="605">
        <v>259.3</v>
      </c>
      <c r="L5" s="605">
        <f>38.6+427.6+0.1</f>
        <v>466.30000000000007</v>
      </c>
      <c r="M5" s="605">
        <v>95.8</v>
      </c>
      <c r="N5" s="605">
        <v>102.4</v>
      </c>
    </row>
    <row r="6" spans="1:14" ht="37.5" x14ac:dyDescent="0.3">
      <c r="A6" s="273"/>
      <c r="B6" s="608" t="s">
        <v>684</v>
      </c>
      <c r="C6" s="609"/>
      <c r="D6" s="609"/>
      <c r="E6" s="609"/>
      <c r="F6" s="609"/>
      <c r="G6" s="617" t="e">
        <f>#REF!-G4</f>
        <v>#REF!</v>
      </c>
      <c r="H6" s="617" t="e">
        <f>#REF!-H4</f>
        <v>#REF!</v>
      </c>
      <c r="I6" s="618" t="e">
        <f>#REF!-I4</f>
        <v>#REF!</v>
      </c>
      <c r="J6" s="618">
        <f>J4-J5</f>
        <v>213647.9</v>
      </c>
      <c r="K6" s="618">
        <f t="shared" ref="K6:N6" si="0">K4-K5</f>
        <v>247260.5</v>
      </c>
      <c r="L6" s="618">
        <f t="shared" si="0"/>
        <v>268470.2</v>
      </c>
      <c r="M6" s="618">
        <f t="shared" si="0"/>
        <v>286330.10000000003</v>
      </c>
      <c r="N6" s="618">
        <f t="shared" si="0"/>
        <v>310091.5</v>
      </c>
    </row>
    <row r="7" spans="1:14" ht="18.75" x14ac:dyDescent="0.3">
      <c r="A7" s="273"/>
      <c r="B7" s="616" t="s">
        <v>685</v>
      </c>
      <c r="C7" s="609"/>
      <c r="D7" s="609"/>
      <c r="E7" s="609"/>
      <c r="F7" s="609"/>
      <c r="G7" s="617">
        <v>46.1</v>
      </c>
      <c r="H7" s="617">
        <v>10.6</v>
      </c>
      <c r="I7" s="617">
        <v>418.6</v>
      </c>
      <c r="J7" s="617">
        <v>437.5</v>
      </c>
      <c r="K7" s="626">
        <v>397.8</v>
      </c>
      <c r="L7" s="625">
        <v>944.6</v>
      </c>
      <c r="M7" s="625">
        <v>278.7</v>
      </c>
      <c r="N7" s="625">
        <v>289.8</v>
      </c>
    </row>
    <row r="8" spans="1:14" ht="37.5" x14ac:dyDescent="0.3">
      <c r="A8" s="273"/>
      <c r="B8" s="619" t="s">
        <v>691</v>
      </c>
      <c r="C8" s="620"/>
      <c r="D8" s="620"/>
      <c r="E8" s="620"/>
      <c r="F8" s="620"/>
      <c r="G8" s="621"/>
      <c r="H8" s="621"/>
      <c r="I8" s="621"/>
      <c r="J8" s="621">
        <f>J4-J7</f>
        <v>213472.5</v>
      </c>
      <c r="K8" s="621">
        <f t="shared" ref="K8:N8" si="1">K4-K7</f>
        <v>247122</v>
      </c>
      <c r="L8" s="621">
        <f>L4-L7</f>
        <v>267991.90000000002</v>
      </c>
      <c r="M8" s="621">
        <f t="shared" si="1"/>
        <v>286147.20000000001</v>
      </c>
      <c r="N8" s="621">
        <f t="shared" si="1"/>
        <v>309904.10000000003</v>
      </c>
    </row>
    <row r="9" spans="1:14" ht="56.25" x14ac:dyDescent="0.3">
      <c r="A9" s="273"/>
      <c r="B9" s="280" t="s">
        <v>686</v>
      </c>
      <c r="C9" s="603"/>
      <c r="D9" s="603"/>
      <c r="E9" s="603"/>
      <c r="F9" s="603"/>
      <c r="G9" s="603" t="e">
        <f>#REF!-G4-G7</f>
        <v>#REF!</v>
      </c>
      <c r="H9" s="603" t="e">
        <f>#REF!-H4-H7</f>
        <v>#REF!</v>
      </c>
      <c r="I9" s="603" t="e">
        <f>#REF!-I4-I7</f>
        <v>#REF!</v>
      </c>
      <c r="J9" s="603">
        <f>J4-J5-J7</f>
        <v>213210.4</v>
      </c>
      <c r="K9" s="627">
        <f t="shared" ref="K9:N9" si="2">K4-K5-K7</f>
        <v>246862.7</v>
      </c>
      <c r="L9" s="627">
        <f>L4-L5-L7</f>
        <v>267525.60000000003</v>
      </c>
      <c r="M9" s="627">
        <f>M4-M5-M7</f>
        <v>286051.40000000002</v>
      </c>
      <c r="N9" s="627">
        <f t="shared" si="2"/>
        <v>309801.7</v>
      </c>
    </row>
    <row r="10" spans="1:14" ht="18.75" x14ac:dyDescent="0.3">
      <c r="A10" s="273"/>
      <c r="B10" s="271" t="s">
        <v>687</v>
      </c>
      <c r="C10" s="606"/>
      <c r="D10" s="606"/>
      <c r="E10" s="606"/>
      <c r="F10" s="606"/>
      <c r="G10" s="606">
        <v>100</v>
      </c>
      <c r="H10" s="606">
        <v>100</v>
      </c>
      <c r="I10" s="607">
        <v>100</v>
      </c>
      <c r="J10" s="607">
        <v>100</v>
      </c>
      <c r="K10" s="628">
        <v>100</v>
      </c>
      <c r="L10" s="607">
        <v>100</v>
      </c>
      <c r="M10" s="607">
        <v>100</v>
      </c>
      <c r="N10" s="607">
        <v>100</v>
      </c>
    </row>
    <row r="11" spans="1:14" ht="18.75" x14ac:dyDescent="0.3">
      <c r="A11" s="273"/>
      <c r="B11" s="271" t="s">
        <v>688</v>
      </c>
      <c r="C11" s="606"/>
      <c r="D11" s="606"/>
      <c r="E11" s="606"/>
      <c r="F11" s="606"/>
      <c r="G11" s="606">
        <v>82</v>
      </c>
      <c r="H11" s="606">
        <v>82</v>
      </c>
      <c r="I11" s="607">
        <v>82</v>
      </c>
      <c r="J11" s="607">
        <v>82</v>
      </c>
      <c r="K11" s="628">
        <v>82</v>
      </c>
      <c r="L11" s="607">
        <v>82</v>
      </c>
      <c r="M11" s="607">
        <v>82</v>
      </c>
      <c r="N11" s="607">
        <v>82</v>
      </c>
    </row>
    <row r="12" spans="1:14" ht="37.5" x14ac:dyDescent="0.3">
      <c r="A12" s="273"/>
      <c r="B12" s="608" t="s">
        <v>405</v>
      </c>
      <c r="C12" s="609"/>
      <c r="D12" s="609"/>
      <c r="E12" s="609"/>
      <c r="F12" s="609"/>
      <c r="G12" s="609"/>
      <c r="H12" s="609">
        <v>159674.5</v>
      </c>
      <c r="I12" s="610"/>
      <c r="J12" s="611">
        <v>174832.5</v>
      </c>
      <c r="K12" s="629">
        <v>202427.4</v>
      </c>
      <c r="L12" s="629">
        <v>219402.7</v>
      </c>
      <c r="M12" s="629">
        <v>234562.1</v>
      </c>
      <c r="N12" s="629">
        <v>254037.4</v>
      </c>
    </row>
    <row r="13" spans="1:14" ht="18.75" x14ac:dyDescent="0.3">
      <c r="A13" s="273"/>
      <c r="B13" s="271" t="s">
        <v>689</v>
      </c>
      <c r="C13" s="606"/>
      <c r="D13" s="606"/>
      <c r="E13" s="606"/>
      <c r="F13" s="606"/>
      <c r="G13" s="606"/>
      <c r="H13" s="606"/>
      <c r="I13" s="607">
        <v>3800</v>
      </c>
      <c r="J13" s="607">
        <v>3800</v>
      </c>
      <c r="K13" s="607">
        <v>3800</v>
      </c>
      <c r="L13" s="607">
        <v>3800</v>
      </c>
      <c r="M13" s="607">
        <v>2600</v>
      </c>
      <c r="N13" s="607">
        <v>1400</v>
      </c>
    </row>
    <row r="18" spans="13:13" x14ac:dyDescent="0.2">
      <c r="M18" s="546" t="s">
        <v>690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37"/>
  <sheetViews>
    <sheetView showGridLines="0" zoomScale="80" zoomScaleNormal="80" workbookViewId="0">
      <pane ySplit="1" topLeftCell="A2" activePane="bottomLeft" state="frozen"/>
      <selection activeCell="B1" sqref="B1"/>
      <selection pane="bottomLeft" activeCell="J43" sqref="J43"/>
    </sheetView>
  </sheetViews>
  <sheetFormatPr defaultRowHeight="12.75" customHeight="1" x14ac:dyDescent="0.2"/>
  <cols>
    <col min="1" max="1" width="27.85546875" customWidth="1"/>
    <col min="2" max="2" width="12.140625" customWidth="1"/>
    <col min="3" max="3" width="11" customWidth="1"/>
    <col min="4" max="4" width="10.5703125" customWidth="1"/>
    <col min="5" max="6" width="10.7109375" customWidth="1"/>
    <col min="7" max="8" width="11.28515625" customWidth="1"/>
    <col min="9" max="9" width="10.7109375" customWidth="1"/>
    <col min="10" max="11" width="11.5703125" customWidth="1"/>
    <col min="12" max="12" width="10.7109375" customWidth="1"/>
    <col min="13" max="14" width="11.140625" customWidth="1"/>
    <col min="15" max="15" width="12.28515625" customWidth="1"/>
    <col min="16" max="16" width="11" customWidth="1"/>
    <col min="17" max="17" width="10.7109375" customWidth="1"/>
    <col min="18" max="18" width="11" customWidth="1"/>
    <col min="19" max="19" width="12.140625" customWidth="1"/>
    <col min="20" max="20" width="0.28515625" hidden="1" customWidth="1"/>
    <col min="21" max="21" width="13" hidden="1" customWidth="1"/>
    <col min="22" max="22" width="15.7109375" customWidth="1"/>
    <col min="258" max="258" width="27.85546875" customWidth="1"/>
    <col min="259" max="259" width="11" customWidth="1"/>
    <col min="260" max="260" width="10.5703125" customWidth="1"/>
    <col min="261" max="262" width="10.7109375" customWidth="1"/>
    <col min="263" max="264" width="11.28515625" customWidth="1"/>
    <col min="265" max="265" width="10.7109375" customWidth="1"/>
    <col min="266" max="267" width="11.5703125" customWidth="1"/>
    <col min="268" max="268" width="10.7109375" customWidth="1"/>
    <col min="269" max="270" width="11.140625" customWidth="1"/>
    <col min="271" max="271" width="12.28515625" customWidth="1"/>
    <col min="272" max="272" width="11" customWidth="1"/>
    <col min="273" max="273" width="10.7109375" customWidth="1"/>
    <col min="274" max="274" width="11" customWidth="1"/>
    <col min="275" max="275" width="12.140625" customWidth="1"/>
    <col min="276" max="277" width="0" hidden="1" customWidth="1"/>
    <col min="278" max="278" width="15.7109375" customWidth="1"/>
    <col min="514" max="514" width="27.85546875" customWidth="1"/>
    <col min="515" max="515" width="11" customWidth="1"/>
    <col min="516" max="516" width="10.5703125" customWidth="1"/>
    <col min="517" max="518" width="10.7109375" customWidth="1"/>
    <col min="519" max="520" width="11.28515625" customWidth="1"/>
    <col min="521" max="521" width="10.7109375" customWidth="1"/>
    <col min="522" max="523" width="11.5703125" customWidth="1"/>
    <col min="524" max="524" width="10.7109375" customWidth="1"/>
    <col min="525" max="526" width="11.140625" customWidth="1"/>
    <col min="527" max="527" width="12.28515625" customWidth="1"/>
    <col min="528" max="528" width="11" customWidth="1"/>
    <col min="529" max="529" width="10.7109375" customWidth="1"/>
    <col min="530" max="530" width="11" customWidth="1"/>
    <col min="531" max="531" width="12.140625" customWidth="1"/>
    <col min="532" max="533" width="0" hidden="1" customWidth="1"/>
    <col min="534" max="534" width="15.7109375" customWidth="1"/>
    <col min="770" max="770" width="27.85546875" customWidth="1"/>
    <col min="771" max="771" width="11" customWidth="1"/>
    <col min="772" max="772" width="10.5703125" customWidth="1"/>
    <col min="773" max="774" width="10.7109375" customWidth="1"/>
    <col min="775" max="776" width="11.28515625" customWidth="1"/>
    <col min="777" max="777" width="10.7109375" customWidth="1"/>
    <col min="778" max="779" width="11.5703125" customWidth="1"/>
    <col min="780" max="780" width="10.7109375" customWidth="1"/>
    <col min="781" max="782" width="11.140625" customWidth="1"/>
    <col min="783" max="783" width="12.28515625" customWidth="1"/>
    <col min="784" max="784" width="11" customWidth="1"/>
    <col min="785" max="785" width="10.7109375" customWidth="1"/>
    <col min="786" max="786" width="11" customWidth="1"/>
    <col min="787" max="787" width="12.140625" customWidth="1"/>
    <col min="788" max="789" width="0" hidden="1" customWidth="1"/>
    <col min="790" max="790" width="15.7109375" customWidth="1"/>
    <col min="1026" max="1026" width="27.85546875" customWidth="1"/>
    <col min="1027" max="1027" width="11" customWidth="1"/>
    <col min="1028" max="1028" width="10.5703125" customWidth="1"/>
    <col min="1029" max="1030" width="10.7109375" customWidth="1"/>
    <col min="1031" max="1032" width="11.28515625" customWidth="1"/>
    <col min="1033" max="1033" width="10.7109375" customWidth="1"/>
    <col min="1034" max="1035" width="11.5703125" customWidth="1"/>
    <col min="1036" max="1036" width="10.7109375" customWidth="1"/>
    <col min="1037" max="1038" width="11.140625" customWidth="1"/>
    <col min="1039" max="1039" width="12.28515625" customWidth="1"/>
    <col min="1040" max="1040" width="11" customWidth="1"/>
    <col min="1041" max="1041" width="10.7109375" customWidth="1"/>
    <col min="1042" max="1042" width="11" customWidth="1"/>
    <col min="1043" max="1043" width="12.140625" customWidth="1"/>
    <col min="1044" max="1045" width="0" hidden="1" customWidth="1"/>
    <col min="1046" max="1046" width="15.7109375" customWidth="1"/>
    <col min="1282" max="1282" width="27.85546875" customWidth="1"/>
    <col min="1283" max="1283" width="11" customWidth="1"/>
    <col min="1284" max="1284" width="10.5703125" customWidth="1"/>
    <col min="1285" max="1286" width="10.7109375" customWidth="1"/>
    <col min="1287" max="1288" width="11.28515625" customWidth="1"/>
    <col min="1289" max="1289" width="10.7109375" customWidth="1"/>
    <col min="1290" max="1291" width="11.5703125" customWidth="1"/>
    <col min="1292" max="1292" width="10.7109375" customWidth="1"/>
    <col min="1293" max="1294" width="11.140625" customWidth="1"/>
    <col min="1295" max="1295" width="12.28515625" customWidth="1"/>
    <col min="1296" max="1296" width="11" customWidth="1"/>
    <col min="1297" max="1297" width="10.7109375" customWidth="1"/>
    <col min="1298" max="1298" width="11" customWidth="1"/>
    <col min="1299" max="1299" width="12.140625" customWidth="1"/>
    <col min="1300" max="1301" width="0" hidden="1" customWidth="1"/>
    <col min="1302" max="1302" width="15.7109375" customWidth="1"/>
    <col min="1538" max="1538" width="27.85546875" customWidth="1"/>
    <col min="1539" max="1539" width="11" customWidth="1"/>
    <col min="1540" max="1540" width="10.5703125" customWidth="1"/>
    <col min="1541" max="1542" width="10.7109375" customWidth="1"/>
    <col min="1543" max="1544" width="11.28515625" customWidth="1"/>
    <col min="1545" max="1545" width="10.7109375" customWidth="1"/>
    <col min="1546" max="1547" width="11.5703125" customWidth="1"/>
    <col min="1548" max="1548" width="10.7109375" customWidth="1"/>
    <col min="1549" max="1550" width="11.140625" customWidth="1"/>
    <col min="1551" max="1551" width="12.28515625" customWidth="1"/>
    <col min="1552" max="1552" width="11" customWidth="1"/>
    <col min="1553" max="1553" width="10.7109375" customWidth="1"/>
    <col min="1554" max="1554" width="11" customWidth="1"/>
    <col min="1555" max="1555" width="12.140625" customWidth="1"/>
    <col min="1556" max="1557" width="0" hidden="1" customWidth="1"/>
    <col min="1558" max="1558" width="15.7109375" customWidth="1"/>
    <col min="1794" max="1794" width="27.85546875" customWidth="1"/>
    <col min="1795" max="1795" width="11" customWidth="1"/>
    <col min="1796" max="1796" width="10.5703125" customWidth="1"/>
    <col min="1797" max="1798" width="10.7109375" customWidth="1"/>
    <col min="1799" max="1800" width="11.28515625" customWidth="1"/>
    <col min="1801" max="1801" width="10.7109375" customWidth="1"/>
    <col min="1802" max="1803" width="11.5703125" customWidth="1"/>
    <col min="1804" max="1804" width="10.7109375" customWidth="1"/>
    <col min="1805" max="1806" width="11.140625" customWidth="1"/>
    <col min="1807" max="1807" width="12.28515625" customWidth="1"/>
    <col min="1808" max="1808" width="11" customWidth="1"/>
    <col min="1809" max="1809" width="10.7109375" customWidth="1"/>
    <col min="1810" max="1810" width="11" customWidth="1"/>
    <col min="1811" max="1811" width="12.140625" customWidth="1"/>
    <col min="1812" max="1813" width="0" hidden="1" customWidth="1"/>
    <col min="1814" max="1814" width="15.7109375" customWidth="1"/>
    <col min="2050" max="2050" width="27.85546875" customWidth="1"/>
    <col min="2051" max="2051" width="11" customWidth="1"/>
    <col min="2052" max="2052" width="10.5703125" customWidth="1"/>
    <col min="2053" max="2054" width="10.7109375" customWidth="1"/>
    <col min="2055" max="2056" width="11.28515625" customWidth="1"/>
    <col min="2057" max="2057" width="10.7109375" customWidth="1"/>
    <col min="2058" max="2059" width="11.5703125" customWidth="1"/>
    <col min="2060" max="2060" width="10.7109375" customWidth="1"/>
    <col min="2061" max="2062" width="11.140625" customWidth="1"/>
    <col min="2063" max="2063" width="12.28515625" customWidth="1"/>
    <col min="2064" max="2064" width="11" customWidth="1"/>
    <col min="2065" max="2065" width="10.7109375" customWidth="1"/>
    <col min="2066" max="2066" width="11" customWidth="1"/>
    <col min="2067" max="2067" width="12.140625" customWidth="1"/>
    <col min="2068" max="2069" width="0" hidden="1" customWidth="1"/>
    <col min="2070" max="2070" width="15.7109375" customWidth="1"/>
    <col min="2306" max="2306" width="27.85546875" customWidth="1"/>
    <col min="2307" max="2307" width="11" customWidth="1"/>
    <col min="2308" max="2308" width="10.5703125" customWidth="1"/>
    <col min="2309" max="2310" width="10.7109375" customWidth="1"/>
    <col min="2311" max="2312" width="11.28515625" customWidth="1"/>
    <col min="2313" max="2313" width="10.7109375" customWidth="1"/>
    <col min="2314" max="2315" width="11.5703125" customWidth="1"/>
    <col min="2316" max="2316" width="10.7109375" customWidth="1"/>
    <col min="2317" max="2318" width="11.140625" customWidth="1"/>
    <col min="2319" max="2319" width="12.28515625" customWidth="1"/>
    <col min="2320" max="2320" width="11" customWidth="1"/>
    <col min="2321" max="2321" width="10.7109375" customWidth="1"/>
    <col min="2322" max="2322" width="11" customWidth="1"/>
    <col min="2323" max="2323" width="12.140625" customWidth="1"/>
    <col min="2324" max="2325" width="0" hidden="1" customWidth="1"/>
    <col min="2326" max="2326" width="15.7109375" customWidth="1"/>
    <col min="2562" max="2562" width="27.85546875" customWidth="1"/>
    <col min="2563" max="2563" width="11" customWidth="1"/>
    <col min="2564" max="2564" width="10.5703125" customWidth="1"/>
    <col min="2565" max="2566" width="10.7109375" customWidth="1"/>
    <col min="2567" max="2568" width="11.28515625" customWidth="1"/>
    <col min="2569" max="2569" width="10.7109375" customWidth="1"/>
    <col min="2570" max="2571" width="11.5703125" customWidth="1"/>
    <col min="2572" max="2572" width="10.7109375" customWidth="1"/>
    <col min="2573" max="2574" width="11.140625" customWidth="1"/>
    <col min="2575" max="2575" width="12.28515625" customWidth="1"/>
    <col min="2576" max="2576" width="11" customWidth="1"/>
    <col min="2577" max="2577" width="10.7109375" customWidth="1"/>
    <col min="2578" max="2578" width="11" customWidth="1"/>
    <col min="2579" max="2579" width="12.140625" customWidth="1"/>
    <col min="2580" max="2581" width="0" hidden="1" customWidth="1"/>
    <col min="2582" max="2582" width="15.7109375" customWidth="1"/>
    <col min="2818" max="2818" width="27.85546875" customWidth="1"/>
    <col min="2819" max="2819" width="11" customWidth="1"/>
    <col min="2820" max="2820" width="10.5703125" customWidth="1"/>
    <col min="2821" max="2822" width="10.7109375" customWidth="1"/>
    <col min="2823" max="2824" width="11.28515625" customWidth="1"/>
    <col min="2825" max="2825" width="10.7109375" customWidth="1"/>
    <col min="2826" max="2827" width="11.5703125" customWidth="1"/>
    <col min="2828" max="2828" width="10.7109375" customWidth="1"/>
    <col min="2829" max="2830" width="11.140625" customWidth="1"/>
    <col min="2831" max="2831" width="12.28515625" customWidth="1"/>
    <col min="2832" max="2832" width="11" customWidth="1"/>
    <col min="2833" max="2833" width="10.7109375" customWidth="1"/>
    <col min="2834" max="2834" width="11" customWidth="1"/>
    <col min="2835" max="2835" width="12.140625" customWidth="1"/>
    <col min="2836" max="2837" width="0" hidden="1" customWidth="1"/>
    <col min="2838" max="2838" width="15.7109375" customWidth="1"/>
    <col min="3074" max="3074" width="27.85546875" customWidth="1"/>
    <col min="3075" max="3075" width="11" customWidth="1"/>
    <col min="3076" max="3076" width="10.5703125" customWidth="1"/>
    <col min="3077" max="3078" width="10.7109375" customWidth="1"/>
    <col min="3079" max="3080" width="11.28515625" customWidth="1"/>
    <col min="3081" max="3081" width="10.7109375" customWidth="1"/>
    <col min="3082" max="3083" width="11.5703125" customWidth="1"/>
    <col min="3084" max="3084" width="10.7109375" customWidth="1"/>
    <col min="3085" max="3086" width="11.140625" customWidth="1"/>
    <col min="3087" max="3087" width="12.28515625" customWidth="1"/>
    <col min="3088" max="3088" width="11" customWidth="1"/>
    <col min="3089" max="3089" width="10.7109375" customWidth="1"/>
    <col min="3090" max="3090" width="11" customWidth="1"/>
    <col min="3091" max="3091" width="12.140625" customWidth="1"/>
    <col min="3092" max="3093" width="0" hidden="1" customWidth="1"/>
    <col min="3094" max="3094" width="15.7109375" customWidth="1"/>
    <col min="3330" max="3330" width="27.85546875" customWidth="1"/>
    <col min="3331" max="3331" width="11" customWidth="1"/>
    <col min="3332" max="3332" width="10.5703125" customWidth="1"/>
    <col min="3333" max="3334" width="10.7109375" customWidth="1"/>
    <col min="3335" max="3336" width="11.28515625" customWidth="1"/>
    <col min="3337" max="3337" width="10.7109375" customWidth="1"/>
    <col min="3338" max="3339" width="11.5703125" customWidth="1"/>
    <col min="3340" max="3340" width="10.7109375" customWidth="1"/>
    <col min="3341" max="3342" width="11.140625" customWidth="1"/>
    <col min="3343" max="3343" width="12.28515625" customWidth="1"/>
    <col min="3344" max="3344" width="11" customWidth="1"/>
    <col min="3345" max="3345" width="10.7109375" customWidth="1"/>
    <col min="3346" max="3346" width="11" customWidth="1"/>
    <col min="3347" max="3347" width="12.140625" customWidth="1"/>
    <col min="3348" max="3349" width="0" hidden="1" customWidth="1"/>
    <col min="3350" max="3350" width="15.7109375" customWidth="1"/>
    <col min="3586" max="3586" width="27.85546875" customWidth="1"/>
    <col min="3587" max="3587" width="11" customWidth="1"/>
    <col min="3588" max="3588" width="10.5703125" customWidth="1"/>
    <col min="3589" max="3590" width="10.7109375" customWidth="1"/>
    <col min="3591" max="3592" width="11.28515625" customWidth="1"/>
    <col min="3593" max="3593" width="10.7109375" customWidth="1"/>
    <col min="3594" max="3595" width="11.5703125" customWidth="1"/>
    <col min="3596" max="3596" width="10.7109375" customWidth="1"/>
    <col min="3597" max="3598" width="11.140625" customWidth="1"/>
    <col min="3599" max="3599" width="12.28515625" customWidth="1"/>
    <col min="3600" max="3600" width="11" customWidth="1"/>
    <col min="3601" max="3601" width="10.7109375" customWidth="1"/>
    <col min="3602" max="3602" width="11" customWidth="1"/>
    <col min="3603" max="3603" width="12.140625" customWidth="1"/>
    <col min="3604" max="3605" width="0" hidden="1" customWidth="1"/>
    <col min="3606" max="3606" width="15.7109375" customWidth="1"/>
    <col min="3842" max="3842" width="27.85546875" customWidth="1"/>
    <col min="3843" max="3843" width="11" customWidth="1"/>
    <col min="3844" max="3844" width="10.5703125" customWidth="1"/>
    <col min="3845" max="3846" width="10.7109375" customWidth="1"/>
    <col min="3847" max="3848" width="11.28515625" customWidth="1"/>
    <col min="3849" max="3849" width="10.7109375" customWidth="1"/>
    <col min="3850" max="3851" width="11.5703125" customWidth="1"/>
    <col min="3852" max="3852" width="10.7109375" customWidth="1"/>
    <col min="3853" max="3854" width="11.140625" customWidth="1"/>
    <col min="3855" max="3855" width="12.28515625" customWidth="1"/>
    <col min="3856" max="3856" width="11" customWidth="1"/>
    <col min="3857" max="3857" width="10.7109375" customWidth="1"/>
    <col min="3858" max="3858" width="11" customWidth="1"/>
    <col min="3859" max="3859" width="12.140625" customWidth="1"/>
    <col min="3860" max="3861" width="0" hidden="1" customWidth="1"/>
    <col min="3862" max="3862" width="15.7109375" customWidth="1"/>
    <col min="4098" max="4098" width="27.85546875" customWidth="1"/>
    <col min="4099" max="4099" width="11" customWidth="1"/>
    <col min="4100" max="4100" width="10.5703125" customWidth="1"/>
    <col min="4101" max="4102" width="10.7109375" customWidth="1"/>
    <col min="4103" max="4104" width="11.28515625" customWidth="1"/>
    <col min="4105" max="4105" width="10.7109375" customWidth="1"/>
    <col min="4106" max="4107" width="11.5703125" customWidth="1"/>
    <col min="4108" max="4108" width="10.7109375" customWidth="1"/>
    <col min="4109" max="4110" width="11.140625" customWidth="1"/>
    <col min="4111" max="4111" width="12.28515625" customWidth="1"/>
    <col min="4112" max="4112" width="11" customWidth="1"/>
    <col min="4113" max="4113" width="10.7109375" customWidth="1"/>
    <col min="4114" max="4114" width="11" customWidth="1"/>
    <col min="4115" max="4115" width="12.140625" customWidth="1"/>
    <col min="4116" max="4117" width="0" hidden="1" customWidth="1"/>
    <col min="4118" max="4118" width="15.7109375" customWidth="1"/>
    <col min="4354" max="4354" width="27.85546875" customWidth="1"/>
    <col min="4355" max="4355" width="11" customWidth="1"/>
    <col min="4356" max="4356" width="10.5703125" customWidth="1"/>
    <col min="4357" max="4358" width="10.7109375" customWidth="1"/>
    <col min="4359" max="4360" width="11.28515625" customWidth="1"/>
    <col min="4361" max="4361" width="10.7109375" customWidth="1"/>
    <col min="4362" max="4363" width="11.5703125" customWidth="1"/>
    <col min="4364" max="4364" width="10.7109375" customWidth="1"/>
    <col min="4365" max="4366" width="11.140625" customWidth="1"/>
    <col min="4367" max="4367" width="12.28515625" customWidth="1"/>
    <col min="4368" max="4368" width="11" customWidth="1"/>
    <col min="4369" max="4369" width="10.7109375" customWidth="1"/>
    <col min="4370" max="4370" width="11" customWidth="1"/>
    <col min="4371" max="4371" width="12.140625" customWidth="1"/>
    <col min="4372" max="4373" width="0" hidden="1" customWidth="1"/>
    <col min="4374" max="4374" width="15.7109375" customWidth="1"/>
    <col min="4610" max="4610" width="27.85546875" customWidth="1"/>
    <col min="4611" max="4611" width="11" customWidth="1"/>
    <col min="4612" max="4612" width="10.5703125" customWidth="1"/>
    <col min="4613" max="4614" width="10.7109375" customWidth="1"/>
    <col min="4615" max="4616" width="11.28515625" customWidth="1"/>
    <col min="4617" max="4617" width="10.7109375" customWidth="1"/>
    <col min="4618" max="4619" width="11.5703125" customWidth="1"/>
    <col min="4620" max="4620" width="10.7109375" customWidth="1"/>
    <col min="4621" max="4622" width="11.140625" customWidth="1"/>
    <col min="4623" max="4623" width="12.28515625" customWidth="1"/>
    <col min="4624" max="4624" width="11" customWidth="1"/>
    <col min="4625" max="4625" width="10.7109375" customWidth="1"/>
    <col min="4626" max="4626" width="11" customWidth="1"/>
    <col min="4627" max="4627" width="12.140625" customWidth="1"/>
    <col min="4628" max="4629" width="0" hidden="1" customWidth="1"/>
    <col min="4630" max="4630" width="15.7109375" customWidth="1"/>
    <col min="4866" max="4866" width="27.85546875" customWidth="1"/>
    <col min="4867" max="4867" width="11" customWidth="1"/>
    <col min="4868" max="4868" width="10.5703125" customWidth="1"/>
    <col min="4869" max="4870" width="10.7109375" customWidth="1"/>
    <col min="4871" max="4872" width="11.28515625" customWidth="1"/>
    <col min="4873" max="4873" width="10.7109375" customWidth="1"/>
    <col min="4874" max="4875" width="11.5703125" customWidth="1"/>
    <col min="4876" max="4876" width="10.7109375" customWidth="1"/>
    <col min="4877" max="4878" width="11.140625" customWidth="1"/>
    <col min="4879" max="4879" width="12.28515625" customWidth="1"/>
    <col min="4880" max="4880" width="11" customWidth="1"/>
    <col min="4881" max="4881" width="10.7109375" customWidth="1"/>
    <col min="4882" max="4882" width="11" customWidth="1"/>
    <col min="4883" max="4883" width="12.140625" customWidth="1"/>
    <col min="4884" max="4885" width="0" hidden="1" customWidth="1"/>
    <col min="4886" max="4886" width="15.7109375" customWidth="1"/>
    <col min="5122" max="5122" width="27.85546875" customWidth="1"/>
    <col min="5123" max="5123" width="11" customWidth="1"/>
    <col min="5124" max="5124" width="10.5703125" customWidth="1"/>
    <col min="5125" max="5126" width="10.7109375" customWidth="1"/>
    <col min="5127" max="5128" width="11.28515625" customWidth="1"/>
    <col min="5129" max="5129" width="10.7109375" customWidth="1"/>
    <col min="5130" max="5131" width="11.5703125" customWidth="1"/>
    <col min="5132" max="5132" width="10.7109375" customWidth="1"/>
    <col min="5133" max="5134" width="11.140625" customWidth="1"/>
    <col min="5135" max="5135" width="12.28515625" customWidth="1"/>
    <col min="5136" max="5136" width="11" customWidth="1"/>
    <col min="5137" max="5137" width="10.7109375" customWidth="1"/>
    <col min="5138" max="5138" width="11" customWidth="1"/>
    <col min="5139" max="5139" width="12.140625" customWidth="1"/>
    <col min="5140" max="5141" width="0" hidden="1" customWidth="1"/>
    <col min="5142" max="5142" width="15.7109375" customWidth="1"/>
    <col min="5378" max="5378" width="27.85546875" customWidth="1"/>
    <col min="5379" max="5379" width="11" customWidth="1"/>
    <col min="5380" max="5380" width="10.5703125" customWidth="1"/>
    <col min="5381" max="5382" width="10.7109375" customWidth="1"/>
    <col min="5383" max="5384" width="11.28515625" customWidth="1"/>
    <col min="5385" max="5385" width="10.7109375" customWidth="1"/>
    <col min="5386" max="5387" width="11.5703125" customWidth="1"/>
    <col min="5388" max="5388" width="10.7109375" customWidth="1"/>
    <col min="5389" max="5390" width="11.140625" customWidth="1"/>
    <col min="5391" max="5391" width="12.28515625" customWidth="1"/>
    <col min="5392" max="5392" width="11" customWidth="1"/>
    <col min="5393" max="5393" width="10.7109375" customWidth="1"/>
    <col min="5394" max="5394" width="11" customWidth="1"/>
    <col min="5395" max="5395" width="12.140625" customWidth="1"/>
    <col min="5396" max="5397" width="0" hidden="1" customWidth="1"/>
    <col min="5398" max="5398" width="15.7109375" customWidth="1"/>
    <col min="5634" max="5634" width="27.85546875" customWidth="1"/>
    <col min="5635" max="5635" width="11" customWidth="1"/>
    <col min="5636" max="5636" width="10.5703125" customWidth="1"/>
    <col min="5637" max="5638" width="10.7109375" customWidth="1"/>
    <col min="5639" max="5640" width="11.28515625" customWidth="1"/>
    <col min="5641" max="5641" width="10.7109375" customWidth="1"/>
    <col min="5642" max="5643" width="11.5703125" customWidth="1"/>
    <col min="5644" max="5644" width="10.7109375" customWidth="1"/>
    <col min="5645" max="5646" width="11.140625" customWidth="1"/>
    <col min="5647" max="5647" width="12.28515625" customWidth="1"/>
    <col min="5648" max="5648" width="11" customWidth="1"/>
    <col min="5649" max="5649" width="10.7109375" customWidth="1"/>
    <col min="5650" max="5650" width="11" customWidth="1"/>
    <col min="5651" max="5651" width="12.140625" customWidth="1"/>
    <col min="5652" max="5653" width="0" hidden="1" customWidth="1"/>
    <col min="5654" max="5654" width="15.7109375" customWidth="1"/>
    <col min="5890" max="5890" width="27.85546875" customWidth="1"/>
    <col min="5891" max="5891" width="11" customWidth="1"/>
    <col min="5892" max="5892" width="10.5703125" customWidth="1"/>
    <col min="5893" max="5894" width="10.7109375" customWidth="1"/>
    <col min="5895" max="5896" width="11.28515625" customWidth="1"/>
    <col min="5897" max="5897" width="10.7109375" customWidth="1"/>
    <col min="5898" max="5899" width="11.5703125" customWidth="1"/>
    <col min="5900" max="5900" width="10.7109375" customWidth="1"/>
    <col min="5901" max="5902" width="11.140625" customWidth="1"/>
    <col min="5903" max="5903" width="12.28515625" customWidth="1"/>
    <col min="5904" max="5904" width="11" customWidth="1"/>
    <col min="5905" max="5905" width="10.7109375" customWidth="1"/>
    <col min="5906" max="5906" width="11" customWidth="1"/>
    <col min="5907" max="5907" width="12.140625" customWidth="1"/>
    <col min="5908" max="5909" width="0" hidden="1" customWidth="1"/>
    <col min="5910" max="5910" width="15.7109375" customWidth="1"/>
    <col min="6146" max="6146" width="27.85546875" customWidth="1"/>
    <col min="6147" max="6147" width="11" customWidth="1"/>
    <col min="6148" max="6148" width="10.5703125" customWidth="1"/>
    <col min="6149" max="6150" width="10.7109375" customWidth="1"/>
    <col min="6151" max="6152" width="11.28515625" customWidth="1"/>
    <col min="6153" max="6153" width="10.7109375" customWidth="1"/>
    <col min="6154" max="6155" width="11.5703125" customWidth="1"/>
    <col min="6156" max="6156" width="10.7109375" customWidth="1"/>
    <col min="6157" max="6158" width="11.140625" customWidth="1"/>
    <col min="6159" max="6159" width="12.28515625" customWidth="1"/>
    <col min="6160" max="6160" width="11" customWidth="1"/>
    <col min="6161" max="6161" width="10.7109375" customWidth="1"/>
    <col min="6162" max="6162" width="11" customWidth="1"/>
    <col min="6163" max="6163" width="12.140625" customWidth="1"/>
    <col min="6164" max="6165" width="0" hidden="1" customWidth="1"/>
    <col min="6166" max="6166" width="15.7109375" customWidth="1"/>
    <col min="6402" max="6402" width="27.85546875" customWidth="1"/>
    <col min="6403" max="6403" width="11" customWidth="1"/>
    <col min="6404" max="6404" width="10.5703125" customWidth="1"/>
    <col min="6405" max="6406" width="10.7109375" customWidth="1"/>
    <col min="6407" max="6408" width="11.28515625" customWidth="1"/>
    <col min="6409" max="6409" width="10.7109375" customWidth="1"/>
    <col min="6410" max="6411" width="11.5703125" customWidth="1"/>
    <col min="6412" max="6412" width="10.7109375" customWidth="1"/>
    <col min="6413" max="6414" width="11.140625" customWidth="1"/>
    <col min="6415" max="6415" width="12.28515625" customWidth="1"/>
    <col min="6416" max="6416" width="11" customWidth="1"/>
    <col min="6417" max="6417" width="10.7109375" customWidth="1"/>
    <col min="6418" max="6418" width="11" customWidth="1"/>
    <col min="6419" max="6419" width="12.140625" customWidth="1"/>
    <col min="6420" max="6421" width="0" hidden="1" customWidth="1"/>
    <col min="6422" max="6422" width="15.7109375" customWidth="1"/>
    <col min="6658" max="6658" width="27.85546875" customWidth="1"/>
    <col min="6659" max="6659" width="11" customWidth="1"/>
    <col min="6660" max="6660" width="10.5703125" customWidth="1"/>
    <col min="6661" max="6662" width="10.7109375" customWidth="1"/>
    <col min="6663" max="6664" width="11.28515625" customWidth="1"/>
    <col min="6665" max="6665" width="10.7109375" customWidth="1"/>
    <col min="6666" max="6667" width="11.5703125" customWidth="1"/>
    <col min="6668" max="6668" width="10.7109375" customWidth="1"/>
    <col min="6669" max="6670" width="11.140625" customWidth="1"/>
    <col min="6671" max="6671" width="12.28515625" customWidth="1"/>
    <col min="6672" max="6672" width="11" customWidth="1"/>
    <col min="6673" max="6673" width="10.7109375" customWidth="1"/>
    <col min="6674" max="6674" width="11" customWidth="1"/>
    <col min="6675" max="6675" width="12.140625" customWidth="1"/>
    <col min="6676" max="6677" width="0" hidden="1" customWidth="1"/>
    <col min="6678" max="6678" width="15.7109375" customWidth="1"/>
    <col min="6914" max="6914" width="27.85546875" customWidth="1"/>
    <col min="6915" max="6915" width="11" customWidth="1"/>
    <col min="6916" max="6916" width="10.5703125" customWidth="1"/>
    <col min="6917" max="6918" width="10.7109375" customWidth="1"/>
    <col min="6919" max="6920" width="11.28515625" customWidth="1"/>
    <col min="6921" max="6921" width="10.7109375" customWidth="1"/>
    <col min="6922" max="6923" width="11.5703125" customWidth="1"/>
    <col min="6924" max="6924" width="10.7109375" customWidth="1"/>
    <col min="6925" max="6926" width="11.140625" customWidth="1"/>
    <col min="6927" max="6927" width="12.28515625" customWidth="1"/>
    <col min="6928" max="6928" width="11" customWidth="1"/>
    <col min="6929" max="6929" width="10.7109375" customWidth="1"/>
    <col min="6930" max="6930" width="11" customWidth="1"/>
    <col min="6931" max="6931" width="12.140625" customWidth="1"/>
    <col min="6932" max="6933" width="0" hidden="1" customWidth="1"/>
    <col min="6934" max="6934" width="15.7109375" customWidth="1"/>
    <col min="7170" max="7170" width="27.85546875" customWidth="1"/>
    <col min="7171" max="7171" width="11" customWidth="1"/>
    <col min="7172" max="7172" width="10.5703125" customWidth="1"/>
    <col min="7173" max="7174" width="10.7109375" customWidth="1"/>
    <col min="7175" max="7176" width="11.28515625" customWidth="1"/>
    <col min="7177" max="7177" width="10.7109375" customWidth="1"/>
    <col min="7178" max="7179" width="11.5703125" customWidth="1"/>
    <col min="7180" max="7180" width="10.7109375" customWidth="1"/>
    <col min="7181" max="7182" width="11.140625" customWidth="1"/>
    <col min="7183" max="7183" width="12.28515625" customWidth="1"/>
    <col min="7184" max="7184" width="11" customWidth="1"/>
    <col min="7185" max="7185" width="10.7109375" customWidth="1"/>
    <col min="7186" max="7186" width="11" customWidth="1"/>
    <col min="7187" max="7187" width="12.140625" customWidth="1"/>
    <col min="7188" max="7189" width="0" hidden="1" customWidth="1"/>
    <col min="7190" max="7190" width="15.7109375" customWidth="1"/>
    <col min="7426" max="7426" width="27.85546875" customWidth="1"/>
    <col min="7427" max="7427" width="11" customWidth="1"/>
    <col min="7428" max="7428" width="10.5703125" customWidth="1"/>
    <col min="7429" max="7430" width="10.7109375" customWidth="1"/>
    <col min="7431" max="7432" width="11.28515625" customWidth="1"/>
    <col min="7433" max="7433" width="10.7109375" customWidth="1"/>
    <col min="7434" max="7435" width="11.5703125" customWidth="1"/>
    <col min="7436" max="7436" width="10.7109375" customWidth="1"/>
    <col min="7437" max="7438" width="11.140625" customWidth="1"/>
    <col min="7439" max="7439" width="12.28515625" customWidth="1"/>
    <col min="7440" max="7440" width="11" customWidth="1"/>
    <col min="7441" max="7441" width="10.7109375" customWidth="1"/>
    <col min="7442" max="7442" width="11" customWidth="1"/>
    <col min="7443" max="7443" width="12.140625" customWidth="1"/>
    <col min="7444" max="7445" width="0" hidden="1" customWidth="1"/>
    <col min="7446" max="7446" width="15.7109375" customWidth="1"/>
    <col min="7682" max="7682" width="27.85546875" customWidth="1"/>
    <col min="7683" max="7683" width="11" customWidth="1"/>
    <col min="7684" max="7684" width="10.5703125" customWidth="1"/>
    <col min="7685" max="7686" width="10.7109375" customWidth="1"/>
    <col min="7687" max="7688" width="11.28515625" customWidth="1"/>
    <col min="7689" max="7689" width="10.7109375" customWidth="1"/>
    <col min="7690" max="7691" width="11.5703125" customWidth="1"/>
    <col min="7692" max="7692" width="10.7109375" customWidth="1"/>
    <col min="7693" max="7694" width="11.140625" customWidth="1"/>
    <col min="7695" max="7695" width="12.28515625" customWidth="1"/>
    <col min="7696" max="7696" width="11" customWidth="1"/>
    <col min="7697" max="7697" width="10.7109375" customWidth="1"/>
    <col min="7698" max="7698" width="11" customWidth="1"/>
    <col min="7699" max="7699" width="12.140625" customWidth="1"/>
    <col min="7700" max="7701" width="0" hidden="1" customWidth="1"/>
    <col min="7702" max="7702" width="15.7109375" customWidth="1"/>
    <col min="7938" max="7938" width="27.85546875" customWidth="1"/>
    <col min="7939" max="7939" width="11" customWidth="1"/>
    <col min="7940" max="7940" width="10.5703125" customWidth="1"/>
    <col min="7941" max="7942" width="10.7109375" customWidth="1"/>
    <col min="7943" max="7944" width="11.28515625" customWidth="1"/>
    <col min="7945" max="7945" width="10.7109375" customWidth="1"/>
    <col min="7946" max="7947" width="11.5703125" customWidth="1"/>
    <col min="7948" max="7948" width="10.7109375" customWidth="1"/>
    <col min="7949" max="7950" width="11.140625" customWidth="1"/>
    <col min="7951" max="7951" width="12.28515625" customWidth="1"/>
    <col min="7952" max="7952" width="11" customWidth="1"/>
    <col min="7953" max="7953" width="10.7109375" customWidth="1"/>
    <col min="7954" max="7954" width="11" customWidth="1"/>
    <col min="7955" max="7955" width="12.140625" customWidth="1"/>
    <col min="7956" max="7957" width="0" hidden="1" customWidth="1"/>
    <col min="7958" max="7958" width="15.7109375" customWidth="1"/>
    <col min="8194" max="8194" width="27.85546875" customWidth="1"/>
    <col min="8195" max="8195" width="11" customWidth="1"/>
    <col min="8196" max="8196" width="10.5703125" customWidth="1"/>
    <col min="8197" max="8198" width="10.7109375" customWidth="1"/>
    <col min="8199" max="8200" width="11.28515625" customWidth="1"/>
    <col min="8201" max="8201" width="10.7109375" customWidth="1"/>
    <col min="8202" max="8203" width="11.5703125" customWidth="1"/>
    <col min="8204" max="8204" width="10.7109375" customWidth="1"/>
    <col min="8205" max="8206" width="11.140625" customWidth="1"/>
    <col min="8207" max="8207" width="12.28515625" customWidth="1"/>
    <col min="8208" max="8208" width="11" customWidth="1"/>
    <col min="8209" max="8209" width="10.7109375" customWidth="1"/>
    <col min="8210" max="8210" width="11" customWidth="1"/>
    <col min="8211" max="8211" width="12.140625" customWidth="1"/>
    <col min="8212" max="8213" width="0" hidden="1" customWidth="1"/>
    <col min="8214" max="8214" width="15.7109375" customWidth="1"/>
    <col min="8450" max="8450" width="27.85546875" customWidth="1"/>
    <col min="8451" max="8451" width="11" customWidth="1"/>
    <col min="8452" max="8452" width="10.5703125" customWidth="1"/>
    <col min="8453" max="8454" width="10.7109375" customWidth="1"/>
    <col min="8455" max="8456" width="11.28515625" customWidth="1"/>
    <col min="8457" max="8457" width="10.7109375" customWidth="1"/>
    <col min="8458" max="8459" width="11.5703125" customWidth="1"/>
    <col min="8460" max="8460" width="10.7109375" customWidth="1"/>
    <col min="8461" max="8462" width="11.140625" customWidth="1"/>
    <col min="8463" max="8463" width="12.28515625" customWidth="1"/>
    <col min="8464" max="8464" width="11" customWidth="1"/>
    <col min="8465" max="8465" width="10.7109375" customWidth="1"/>
    <col min="8466" max="8466" width="11" customWidth="1"/>
    <col min="8467" max="8467" width="12.140625" customWidth="1"/>
    <col min="8468" max="8469" width="0" hidden="1" customWidth="1"/>
    <col min="8470" max="8470" width="15.7109375" customWidth="1"/>
    <col min="8706" max="8706" width="27.85546875" customWidth="1"/>
    <col min="8707" max="8707" width="11" customWidth="1"/>
    <col min="8708" max="8708" width="10.5703125" customWidth="1"/>
    <col min="8709" max="8710" width="10.7109375" customWidth="1"/>
    <col min="8711" max="8712" width="11.28515625" customWidth="1"/>
    <col min="8713" max="8713" width="10.7109375" customWidth="1"/>
    <col min="8714" max="8715" width="11.5703125" customWidth="1"/>
    <col min="8716" max="8716" width="10.7109375" customWidth="1"/>
    <col min="8717" max="8718" width="11.140625" customWidth="1"/>
    <col min="8719" max="8719" width="12.28515625" customWidth="1"/>
    <col min="8720" max="8720" width="11" customWidth="1"/>
    <col min="8721" max="8721" width="10.7109375" customWidth="1"/>
    <col min="8722" max="8722" width="11" customWidth="1"/>
    <col min="8723" max="8723" width="12.140625" customWidth="1"/>
    <col min="8724" max="8725" width="0" hidden="1" customWidth="1"/>
    <col min="8726" max="8726" width="15.7109375" customWidth="1"/>
    <col min="8962" max="8962" width="27.85546875" customWidth="1"/>
    <col min="8963" max="8963" width="11" customWidth="1"/>
    <col min="8964" max="8964" width="10.5703125" customWidth="1"/>
    <col min="8965" max="8966" width="10.7109375" customWidth="1"/>
    <col min="8967" max="8968" width="11.28515625" customWidth="1"/>
    <col min="8969" max="8969" width="10.7109375" customWidth="1"/>
    <col min="8970" max="8971" width="11.5703125" customWidth="1"/>
    <col min="8972" max="8972" width="10.7109375" customWidth="1"/>
    <col min="8973" max="8974" width="11.140625" customWidth="1"/>
    <col min="8975" max="8975" width="12.28515625" customWidth="1"/>
    <col min="8976" max="8976" width="11" customWidth="1"/>
    <col min="8977" max="8977" width="10.7109375" customWidth="1"/>
    <col min="8978" max="8978" width="11" customWidth="1"/>
    <col min="8979" max="8979" width="12.140625" customWidth="1"/>
    <col min="8980" max="8981" width="0" hidden="1" customWidth="1"/>
    <col min="8982" max="8982" width="15.7109375" customWidth="1"/>
    <col min="9218" max="9218" width="27.85546875" customWidth="1"/>
    <col min="9219" max="9219" width="11" customWidth="1"/>
    <col min="9220" max="9220" width="10.5703125" customWidth="1"/>
    <col min="9221" max="9222" width="10.7109375" customWidth="1"/>
    <col min="9223" max="9224" width="11.28515625" customWidth="1"/>
    <col min="9225" max="9225" width="10.7109375" customWidth="1"/>
    <col min="9226" max="9227" width="11.5703125" customWidth="1"/>
    <col min="9228" max="9228" width="10.7109375" customWidth="1"/>
    <col min="9229" max="9230" width="11.140625" customWidth="1"/>
    <col min="9231" max="9231" width="12.28515625" customWidth="1"/>
    <col min="9232" max="9232" width="11" customWidth="1"/>
    <col min="9233" max="9233" width="10.7109375" customWidth="1"/>
    <col min="9234" max="9234" width="11" customWidth="1"/>
    <col min="9235" max="9235" width="12.140625" customWidth="1"/>
    <col min="9236" max="9237" width="0" hidden="1" customWidth="1"/>
    <col min="9238" max="9238" width="15.7109375" customWidth="1"/>
    <col min="9474" max="9474" width="27.85546875" customWidth="1"/>
    <col min="9475" max="9475" width="11" customWidth="1"/>
    <col min="9476" max="9476" width="10.5703125" customWidth="1"/>
    <col min="9477" max="9478" width="10.7109375" customWidth="1"/>
    <col min="9479" max="9480" width="11.28515625" customWidth="1"/>
    <col min="9481" max="9481" width="10.7109375" customWidth="1"/>
    <col min="9482" max="9483" width="11.5703125" customWidth="1"/>
    <col min="9484" max="9484" width="10.7109375" customWidth="1"/>
    <col min="9485" max="9486" width="11.140625" customWidth="1"/>
    <col min="9487" max="9487" width="12.28515625" customWidth="1"/>
    <col min="9488" max="9488" width="11" customWidth="1"/>
    <col min="9489" max="9489" width="10.7109375" customWidth="1"/>
    <col min="9490" max="9490" width="11" customWidth="1"/>
    <col min="9491" max="9491" width="12.140625" customWidth="1"/>
    <col min="9492" max="9493" width="0" hidden="1" customWidth="1"/>
    <col min="9494" max="9494" width="15.7109375" customWidth="1"/>
    <col min="9730" max="9730" width="27.85546875" customWidth="1"/>
    <col min="9731" max="9731" width="11" customWidth="1"/>
    <col min="9732" max="9732" width="10.5703125" customWidth="1"/>
    <col min="9733" max="9734" width="10.7109375" customWidth="1"/>
    <col min="9735" max="9736" width="11.28515625" customWidth="1"/>
    <col min="9737" max="9737" width="10.7109375" customWidth="1"/>
    <col min="9738" max="9739" width="11.5703125" customWidth="1"/>
    <col min="9740" max="9740" width="10.7109375" customWidth="1"/>
    <col min="9741" max="9742" width="11.140625" customWidth="1"/>
    <col min="9743" max="9743" width="12.28515625" customWidth="1"/>
    <col min="9744" max="9744" width="11" customWidth="1"/>
    <col min="9745" max="9745" width="10.7109375" customWidth="1"/>
    <col min="9746" max="9746" width="11" customWidth="1"/>
    <col min="9747" max="9747" width="12.140625" customWidth="1"/>
    <col min="9748" max="9749" width="0" hidden="1" customWidth="1"/>
    <col min="9750" max="9750" width="15.7109375" customWidth="1"/>
    <col min="9986" max="9986" width="27.85546875" customWidth="1"/>
    <col min="9987" max="9987" width="11" customWidth="1"/>
    <col min="9988" max="9988" width="10.5703125" customWidth="1"/>
    <col min="9989" max="9990" width="10.7109375" customWidth="1"/>
    <col min="9991" max="9992" width="11.28515625" customWidth="1"/>
    <col min="9993" max="9993" width="10.7109375" customWidth="1"/>
    <col min="9994" max="9995" width="11.5703125" customWidth="1"/>
    <col min="9996" max="9996" width="10.7109375" customWidth="1"/>
    <col min="9997" max="9998" width="11.140625" customWidth="1"/>
    <col min="9999" max="9999" width="12.28515625" customWidth="1"/>
    <col min="10000" max="10000" width="11" customWidth="1"/>
    <col min="10001" max="10001" width="10.7109375" customWidth="1"/>
    <col min="10002" max="10002" width="11" customWidth="1"/>
    <col min="10003" max="10003" width="12.140625" customWidth="1"/>
    <col min="10004" max="10005" width="0" hidden="1" customWidth="1"/>
    <col min="10006" max="10006" width="15.7109375" customWidth="1"/>
    <col min="10242" max="10242" width="27.85546875" customWidth="1"/>
    <col min="10243" max="10243" width="11" customWidth="1"/>
    <col min="10244" max="10244" width="10.5703125" customWidth="1"/>
    <col min="10245" max="10246" width="10.7109375" customWidth="1"/>
    <col min="10247" max="10248" width="11.28515625" customWidth="1"/>
    <col min="10249" max="10249" width="10.7109375" customWidth="1"/>
    <col min="10250" max="10251" width="11.5703125" customWidth="1"/>
    <col min="10252" max="10252" width="10.7109375" customWidth="1"/>
    <col min="10253" max="10254" width="11.140625" customWidth="1"/>
    <col min="10255" max="10255" width="12.28515625" customWidth="1"/>
    <col min="10256" max="10256" width="11" customWidth="1"/>
    <col min="10257" max="10257" width="10.7109375" customWidth="1"/>
    <col min="10258" max="10258" width="11" customWidth="1"/>
    <col min="10259" max="10259" width="12.140625" customWidth="1"/>
    <col min="10260" max="10261" width="0" hidden="1" customWidth="1"/>
    <col min="10262" max="10262" width="15.7109375" customWidth="1"/>
    <col min="10498" max="10498" width="27.85546875" customWidth="1"/>
    <col min="10499" max="10499" width="11" customWidth="1"/>
    <col min="10500" max="10500" width="10.5703125" customWidth="1"/>
    <col min="10501" max="10502" width="10.7109375" customWidth="1"/>
    <col min="10503" max="10504" width="11.28515625" customWidth="1"/>
    <col min="10505" max="10505" width="10.7109375" customWidth="1"/>
    <col min="10506" max="10507" width="11.5703125" customWidth="1"/>
    <col min="10508" max="10508" width="10.7109375" customWidth="1"/>
    <col min="10509" max="10510" width="11.140625" customWidth="1"/>
    <col min="10511" max="10511" width="12.28515625" customWidth="1"/>
    <col min="10512" max="10512" width="11" customWidth="1"/>
    <col min="10513" max="10513" width="10.7109375" customWidth="1"/>
    <col min="10514" max="10514" width="11" customWidth="1"/>
    <col min="10515" max="10515" width="12.140625" customWidth="1"/>
    <col min="10516" max="10517" width="0" hidden="1" customWidth="1"/>
    <col min="10518" max="10518" width="15.7109375" customWidth="1"/>
    <col min="10754" max="10754" width="27.85546875" customWidth="1"/>
    <col min="10755" max="10755" width="11" customWidth="1"/>
    <col min="10756" max="10756" width="10.5703125" customWidth="1"/>
    <col min="10757" max="10758" width="10.7109375" customWidth="1"/>
    <col min="10759" max="10760" width="11.28515625" customWidth="1"/>
    <col min="10761" max="10761" width="10.7109375" customWidth="1"/>
    <col min="10762" max="10763" width="11.5703125" customWidth="1"/>
    <col min="10764" max="10764" width="10.7109375" customWidth="1"/>
    <col min="10765" max="10766" width="11.140625" customWidth="1"/>
    <col min="10767" max="10767" width="12.28515625" customWidth="1"/>
    <col min="10768" max="10768" width="11" customWidth="1"/>
    <col min="10769" max="10769" width="10.7109375" customWidth="1"/>
    <col min="10770" max="10770" width="11" customWidth="1"/>
    <col min="10771" max="10771" width="12.140625" customWidth="1"/>
    <col min="10772" max="10773" width="0" hidden="1" customWidth="1"/>
    <col min="10774" max="10774" width="15.7109375" customWidth="1"/>
    <col min="11010" max="11010" width="27.85546875" customWidth="1"/>
    <col min="11011" max="11011" width="11" customWidth="1"/>
    <col min="11012" max="11012" width="10.5703125" customWidth="1"/>
    <col min="11013" max="11014" width="10.7109375" customWidth="1"/>
    <col min="11015" max="11016" width="11.28515625" customWidth="1"/>
    <col min="11017" max="11017" width="10.7109375" customWidth="1"/>
    <col min="11018" max="11019" width="11.5703125" customWidth="1"/>
    <col min="11020" max="11020" width="10.7109375" customWidth="1"/>
    <col min="11021" max="11022" width="11.140625" customWidth="1"/>
    <col min="11023" max="11023" width="12.28515625" customWidth="1"/>
    <col min="11024" max="11024" width="11" customWidth="1"/>
    <col min="11025" max="11025" width="10.7109375" customWidth="1"/>
    <col min="11026" max="11026" width="11" customWidth="1"/>
    <col min="11027" max="11027" width="12.140625" customWidth="1"/>
    <col min="11028" max="11029" width="0" hidden="1" customWidth="1"/>
    <col min="11030" max="11030" width="15.7109375" customWidth="1"/>
    <col min="11266" max="11266" width="27.85546875" customWidth="1"/>
    <col min="11267" max="11267" width="11" customWidth="1"/>
    <col min="11268" max="11268" width="10.5703125" customWidth="1"/>
    <col min="11269" max="11270" width="10.7109375" customWidth="1"/>
    <col min="11271" max="11272" width="11.28515625" customWidth="1"/>
    <col min="11273" max="11273" width="10.7109375" customWidth="1"/>
    <col min="11274" max="11275" width="11.5703125" customWidth="1"/>
    <col min="11276" max="11276" width="10.7109375" customWidth="1"/>
    <col min="11277" max="11278" width="11.140625" customWidth="1"/>
    <col min="11279" max="11279" width="12.28515625" customWidth="1"/>
    <col min="11280" max="11280" width="11" customWidth="1"/>
    <col min="11281" max="11281" width="10.7109375" customWidth="1"/>
    <col min="11282" max="11282" width="11" customWidth="1"/>
    <col min="11283" max="11283" width="12.140625" customWidth="1"/>
    <col min="11284" max="11285" width="0" hidden="1" customWidth="1"/>
    <col min="11286" max="11286" width="15.7109375" customWidth="1"/>
    <col min="11522" max="11522" width="27.85546875" customWidth="1"/>
    <col min="11523" max="11523" width="11" customWidth="1"/>
    <col min="11524" max="11524" width="10.5703125" customWidth="1"/>
    <col min="11525" max="11526" width="10.7109375" customWidth="1"/>
    <col min="11527" max="11528" width="11.28515625" customWidth="1"/>
    <col min="11529" max="11529" width="10.7109375" customWidth="1"/>
    <col min="11530" max="11531" width="11.5703125" customWidth="1"/>
    <col min="11532" max="11532" width="10.7109375" customWidth="1"/>
    <col min="11533" max="11534" width="11.140625" customWidth="1"/>
    <col min="11535" max="11535" width="12.28515625" customWidth="1"/>
    <col min="11536" max="11536" width="11" customWidth="1"/>
    <col min="11537" max="11537" width="10.7109375" customWidth="1"/>
    <col min="11538" max="11538" width="11" customWidth="1"/>
    <col min="11539" max="11539" width="12.140625" customWidth="1"/>
    <col min="11540" max="11541" width="0" hidden="1" customWidth="1"/>
    <col min="11542" max="11542" width="15.7109375" customWidth="1"/>
    <col min="11778" max="11778" width="27.85546875" customWidth="1"/>
    <col min="11779" max="11779" width="11" customWidth="1"/>
    <col min="11780" max="11780" width="10.5703125" customWidth="1"/>
    <col min="11781" max="11782" width="10.7109375" customWidth="1"/>
    <col min="11783" max="11784" width="11.28515625" customWidth="1"/>
    <col min="11785" max="11785" width="10.7109375" customWidth="1"/>
    <col min="11786" max="11787" width="11.5703125" customWidth="1"/>
    <col min="11788" max="11788" width="10.7109375" customWidth="1"/>
    <col min="11789" max="11790" width="11.140625" customWidth="1"/>
    <col min="11791" max="11791" width="12.28515625" customWidth="1"/>
    <col min="11792" max="11792" width="11" customWidth="1"/>
    <col min="11793" max="11793" width="10.7109375" customWidth="1"/>
    <col min="11794" max="11794" width="11" customWidth="1"/>
    <col min="11795" max="11795" width="12.140625" customWidth="1"/>
    <col min="11796" max="11797" width="0" hidden="1" customWidth="1"/>
    <col min="11798" max="11798" width="15.7109375" customWidth="1"/>
    <col min="12034" max="12034" width="27.85546875" customWidth="1"/>
    <col min="12035" max="12035" width="11" customWidth="1"/>
    <col min="12036" max="12036" width="10.5703125" customWidth="1"/>
    <col min="12037" max="12038" width="10.7109375" customWidth="1"/>
    <col min="12039" max="12040" width="11.28515625" customWidth="1"/>
    <col min="12041" max="12041" width="10.7109375" customWidth="1"/>
    <col min="12042" max="12043" width="11.5703125" customWidth="1"/>
    <col min="12044" max="12044" width="10.7109375" customWidth="1"/>
    <col min="12045" max="12046" width="11.140625" customWidth="1"/>
    <col min="12047" max="12047" width="12.28515625" customWidth="1"/>
    <col min="12048" max="12048" width="11" customWidth="1"/>
    <col min="12049" max="12049" width="10.7109375" customWidth="1"/>
    <col min="12050" max="12050" width="11" customWidth="1"/>
    <col min="12051" max="12051" width="12.140625" customWidth="1"/>
    <col min="12052" max="12053" width="0" hidden="1" customWidth="1"/>
    <col min="12054" max="12054" width="15.7109375" customWidth="1"/>
    <col min="12290" max="12290" width="27.85546875" customWidth="1"/>
    <col min="12291" max="12291" width="11" customWidth="1"/>
    <col min="12292" max="12292" width="10.5703125" customWidth="1"/>
    <col min="12293" max="12294" width="10.7109375" customWidth="1"/>
    <col min="12295" max="12296" width="11.28515625" customWidth="1"/>
    <col min="12297" max="12297" width="10.7109375" customWidth="1"/>
    <col min="12298" max="12299" width="11.5703125" customWidth="1"/>
    <col min="12300" max="12300" width="10.7109375" customWidth="1"/>
    <col min="12301" max="12302" width="11.140625" customWidth="1"/>
    <col min="12303" max="12303" width="12.28515625" customWidth="1"/>
    <col min="12304" max="12304" width="11" customWidth="1"/>
    <col min="12305" max="12305" width="10.7109375" customWidth="1"/>
    <col min="12306" max="12306" width="11" customWidth="1"/>
    <col min="12307" max="12307" width="12.140625" customWidth="1"/>
    <col min="12308" max="12309" width="0" hidden="1" customWidth="1"/>
    <col min="12310" max="12310" width="15.7109375" customWidth="1"/>
    <col min="12546" max="12546" width="27.85546875" customWidth="1"/>
    <col min="12547" max="12547" width="11" customWidth="1"/>
    <col min="12548" max="12548" width="10.5703125" customWidth="1"/>
    <col min="12549" max="12550" width="10.7109375" customWidth="1"/>
    <col min="12551" max="12552" width="11.28515625" customWidth="1"/>
    <col min="12553" max="12553" width="10.7109375" customWidth="1"/>
    <col min="12554" max="12555" width="11.5703125" customWidth="1"/>
    <col min="12556" max="12556" width="10.7109375" customWidth="1"/>
    <col min="12557" max="12558" width="11.140625" customWidth="1"/>
    <col min="12559" max="12559" width="12.28515625" customWidth="1"/>
    <col min="12560" max="12560" width="11" customWidth="1"/>
    <col min="12561" max="12561" width="10.7109375" customWidth="1"/>
    <col min="12562" max="12562" width="11" customWidth="1"/>
    <col min="12563" max="12563" width="12.140625" customWidth="1"/>
    <col min="12564" max="12565" width="0" hidden="1" customWidth="1"/>
    <col min="12566" max="12566" width="15.7109375" customWidth="1"/>
    <col min="12802" max="12802" width="27.85546875" customWidth="1"/>
    <col min="12803" max="12803" width="11" customWidth="1"/>
    <col min="12804" max="12804" width="10.5703125" customWidth="1"/>
    <col min="12805" max="12806" width="10.7109375" customWidth="1"/>
    <col min="12807" max="12808" width="11.28515625" customWidth="1"/>
    <col min="12809" max="12809" width="10.7109375" customWidth="1"/>
    <col min="12810" max="12811" width="11.5703125" customWidth="1"/>
    <col min="12812" max="12812" width="10.7109375" customWidth="1"/>
    <col min="12813" max="12814" width="11.140625" customWidth="1"/>
    <col min="12815" max="12815" width="12.28515625" customWidth="1"/>
    <col min="12816" max="12816" width="11" customWidth="1"/>
    <col min="12817" max="12817" width="10.7109375" customWidth="1"/>
    <col min="12818" max="12818" width="11" customWidth="1"/>
    <col min="12819" max="12819" width="12.140625" customWidth="1"/>
    <col min="12820" max="12821" width="0" hidden="1" customWidth="1"/>
    <col min="12822" max="12822" width="15.7109375" customWidth="1"/>
    <col min="13058" max="13058" width="27.85546875" customWidth="1"/>
    <col min="13059" max="13059" width="11" customWidth="1"/>
    <col min="13060" max="13060" width="10.5703125" customWidth="1"/>
    <col min="13061" max="13062" width="10.7109375" customWidth="1"/>
    <col min="13063" max="13064" width="11.28515625" customWidth="1"/>
    <col min="13065" max="13065" width="10.7109375" customWidth="1"/>
    <col min="13066" max="13067" width="11.5703125" customWidth="1"/>
    <col min="13068" max="13068" width="10.7109375" customWidth="1"/>
    <col min="13069" max="13070" width="11.140625" customWidth="1"/>
    <col min="13071" max="13071" width="12.28515625" customWidth="1"/>
    <col min="13072" max="13072" width="11" customWidth="1"/>
    <col min="13073" max="13073" width="10.7109375" customWidth="1"/>
    <col min="13074" max="13074" width="11" customWidth="1"/>
    <col min="13075" max="13075" width="12.140625" customWidth="1"/>
    <col min="13076" max="13077" width="0" hidden="1" customWidth="1"/>
    <col min="13078" max="13078" width="15.7109375" customWidth="1"/>
    <col min="13314" max="13314" width="27.85546875" customWidth="1"/>
    <col min="13315" max="13315" width="11" customWidth="1"/>
    <col min="13316" max="13316" width="10.5703125" customWidth="1"/>
    <col min="13317" max="13318" width="10.7109375" customWidth="1"/>
    <col min="13319" max="13320" width="11.28515625" customWidth="1"/>
    <col min="13321" max="13321" width="10.7109375" customWidth="1"/>
    <col min="13322" max="13323" width="11.5703125" customWidth="1"/>
    <col min="13324" max="13324" width="10.7109375" customWidth="1"/>
    <col min="13325" max="13326" width="11.140625" customWidth="1"/>
    <col min="13327" max="13327" width="12.28515625" customWidth="1"/>
    <col min="13328" max="13328" width="11" customWidth="1"/>
    <col min="13329" max="13329" width="10.7109375" customWidth="1"/>
    <col min="13330" max="13330" width="11" customWidth="1"/>
    <col min="13331" max="13331" width="12.140625" customWidth="1"/>
    <col min="13332" max="13333" width="0" hidden="1" customWidth="1"/>
    <col min="13334" max="13334" width="15.7109375" customWidth="1"/>
    <col min="13570" max="13570" width="27.85546875" customWidth="1"/>
    <col min="13571" max="13571" width="11" customWidth="1"/>
    <col min="13572" max="13572" width="10.5703125" customWidth="1"/>
    <col min="13573" max="13574" width="10.7109375" customWidth="1"/>
    <col min="13575" max="13576" width="11.28515625" customWidth="1"/>
    <col min="13577" max="13577" width="10.7109375" customWidth="1"/>
    <col min="13578" max="13579" width="11.5703125" customWidth="1"/>
    <col min="13580" max="13580" width="10.7109375" customWidth="1"/>
    <col min="13581" max="13582" width="11.140625" customWidth="1"/>
    <col min="13583" max="13583" width="12.28515625" customWidth="1"/>
    <col min="13584" max="13584" width="11" customWidth="1"/>
    <col min="13585" max="13585" width="10.7109375" customWidth="1"/>
    <col min="13586" max="13586" width="11" customWidth="1"/>
    <col min="13587" max="13587" width="12.140625" customWidth="1"/>
    <col min="13588" max="13589" width="0" hidden="1" customWidth="1"/>
    <col min="13590" max="13590" width="15.7109375" customWidth="1"/>
    <col min="13826" max="13826" width="27.85546875" customWidth="1"/>
    <col min="13827" max="13827" width="11" customWidth="1"/>
    <col min="13828" max="13828" width="10.5703125" customWidth="1"/>
    <col min="13829" max="13830" width="10.7109375" customWidth="1"/>
    <col min="13831" max="13832" width="11.28515625" customWidth="1"/>
    <col min="13833" max="13833" width="10.7109375" customWidth="1"/>
    <col min="13834" max="13835" width="11.5703125" customWidth="1"/>
    <col min="13836" max="13836" width="10.7109375" customWidth="1"/>
    <col min="13837" max="13838" width="11.140625" customWidth="1"/>
    <col min="13839" max="13839" width="12.28515625" customWidth="1"/>
    <col min="13840" max="13840" width="11" customWidth="1"/>
    <col min="13841" max="13841" width="10.7109375" customWidth="1"/>
    <col min="13842" max="13842" width="11" customWidth="1"/>
    <col min="13843" max="13843" width="12.140625" customWidth="1"/>
    <col min="13844" max="13845" width="0" hidden="1" customWidth="1"/>
    <col min="13846" max="13846" width="15.7109375" customWidth="1"/>
    <col min="14082" max="14082" width="27.85546875" customWidth="1"/>
    <col min="14083" max="14083" width="11" customWidth="1"/>
    <col min="14084" max="14084" width="10.5703125" customWidth="1"/>
    <col min="14085" max="14086" width="10.7109375" customWidth="1"/>
    <col min="14087" max="14088" width="11.28515625" customWidth="1"/>
    <col min="14089" max="14089" width="10.7109375" customWidth="1"/>
    <col min="14090" max="14091" width="11.5703125" customWidth="1"/>
    <col min="14092" max="14092" width="10.7109375" customWidth="1"/>
    <col min="14093" max="14094" width="11.140625" customWidth="1"/>
    <col min="14095" max="14095" width="12.28515625" customWidth="1"/>
    <col min="14096" max="14096" width="11" customWidth="1"/>
    <col min="14097" max="14097" width="10.7109375" customWidth="1"/>
    <col min="14098" max="14098" width="11" customWidth="1"/>
    <col min="14099" max="14099" width="12.140625" customWidth="1"/>
    <col min="14100" max="14101" width="0" hidden="1" customWidth="1"/>
    <col min="14102" max="14102" width="15.7109375" customWidth="1"/>
    <col min="14338" max="14338" width="27.85546875" customWidth="1"/>
    <col min="14339" max="14339" width="11" customWidth="1"/>
    <col min="14340" max="14340" width="10.5703125" customWidth="1"/>
    <col min="14341" max="14342" width="10.7109375" customWidth="1"/>
    <col min="14343" max="14344" width="11.28515625" customWidth="1"/>
    <col min="14345" max="14345" width="10.7109375" customWidth="1"/>
    <col min="14346" max="14347" width="11.5703125" customWidth="1"/>
    <col min="14348" max="14348" width="10.7109375" customWidth="1"/>
    <col min="14349" max="14350" width="11.140625" customWidth="1"/>
    <col min="14351" max="14351" width="12.28515625" customWidth="1"/>
    <col min="14352" max="14352" width="11" customWidth="1"/>
    <col min="14353" max="14353" width="10.7109375" customWidth="1"/>
    <col min="14354" max="14354" width="11" customWidth="1"/>
    <col min="14355" max="14355" width="12.140625" customWidth="1"/>
    <col min="14356" max="14357" width="0" hidden="1" customWidth="1"/>
    <col min="14358" max="14358" width="15.7109375" customWidth="1"/>
    <col min="14594" max="14594" width="27.85546875" customWidth="1"/>
    <col min="14595" max="14595" width="11" customWidth="1"/>
    <col min="14596" max="14596" width="10.5703125" customWidth="1"/>
    <col min="14597" max="14598" width="10.7109375" customWidth="1"/>
    <col min="14599" max="14600" width="11.28515625" customWidth="1"/>
    <col min="14601" max="14601" width="10.7109375" customWidth="1"/>
    <col min="14602" max="14603" width="11.5703125" customWidth="1"/>
    <col min="14604" max="14604" width="10.7109375" customWidth="1"/>
    <col min="14605" max="14606" width="11.140625" customWidth="1"/>
    <col min="14607" max="14607" width="12.28515625" customWidth="1"/>
    <col min="14608" max="14608" width="11" customWidth="1"/>
    <col min="14609" max="14609" width="10.7109375" customWidth="1"/>
    <col min="14610" max="14610" width="11" customWidth="1"/>
    <col min="14611" max="14611" width="12.140625" customWidth="1"/>
    <col min="14612" max="14613" width="0" hidden="1" customWidth="1"/>
    <col min="14614" max="14614" width="15.7109375" customWidth="1"/>
    <col min="14850" max="14850" width="27.85546875" customWidth="1"/>
    <col min="14851" max="14851" width="11" customWidth="1"/>
    <col min="14852" max="14852" width="10.5703125" customWidth="1"/>
    <col min="14853" max="14854" width="10.7109375" customWidth="1"/>
    <col min="14855" max="14856" width="11.28515625" customWidth="1"/>
    <col min="14857" max="14857" width="10.7109375" customWidth="1"/>
    <col min="14858" max="14859" width="11.5703125" customWidth="1"/>
    <col min="14860" max="14860" width="10.7109375" customWidth="1"/>
    <col min="14861" max="14862" width="11.140625" customWidth="1"/>
    <col min="14863" max="14863" width="12.28515625" customWidth="1"/>
    <col min="14864" max="14864" width="11" customWidth="1"/>
    <col min="14865" max="14865" width="10.7109375" customWidth="1"/>
    <col min="14866" max="14866" width="11" customWidth="1"/>
    <col min="14867" max="14867" width="12.140625" customWidth="1"/>
    <col min="14868" max="14869" width="0" hidden="1" customWidth="1"/>
    <col min="14870" max="14870" width="15.7109375" customWidth="1"/>
    <col min="15106" max="15106" width="27.85546875" customWidth="1"/>
    <col min="15107" max="15107" width="11" customWidth="1"/>
    <col min="15108" max="15108" width="10.5703125" customWidth="1"/>
    <col min="15109" max="15110" width="10.7109375" customWidth="1"/>
    <col min="15111" max="15112" width="11.28515625" customWidth="1"/>
    <col min="15113" max="15113" width="10.7109375" customWidth="1"/>
    <col min="15114" max="15115" width="11.5703125" customWidth="1"/>
    <col min="15116" max="15116" width="10.7109375" customWidth="1"/>
    <col min="15117" max="15118" width="11.140625" customWidth="1"/>
    <col min="15119" max="15119" width="12.28515625" customWidth="1"/>
    <col min="15120" max="15120" width="11" customWidth="1"/>
    <col min="15121" max="15121" width="10.7109375" customWidth="1"/>
    <col min="15122" max="15122" width="11" customWidth="1"/>
    <col min="15123" max="15123" width="12.140625" customWidth="1"/>
    <col min="15124" max="15125" width="0" hidden="1" customWidth="1"/>
    <col min="15126" max="15126" width="15.7109375" customWidth="1"/>
    <col min="15362" max="15362" width="27.85546875" customWidth="1"/>
    <col min="15363" max="15363" width="11" customWidth="1"/>
    <col min="15364" max="15364" width="10.5703125" customWidth="1"/>
    <col min="15365" max="15366" width="10.7109375" customWidth="1"/>
    <col min="15367" max="15368" width="11.28515625" customWidth="1"/>
    <col min="15369" max="15369" width="10.7109375" customWidth="1"/>
    <col min="15370" max="15371" width="11.5703125" customWidth="1"/>
    <col min="15372" max="15372" width="10.7109375" customWidth="1"/>
    <col min="15373" max="15374" width="11.140625" customWidth="1"/>
    <col min="15375" max="15375" width="12.28515625" customWidth="1"/>
    <col min="15376" max="15376" width="11" customWidth="1"/>
    <col min="15377" max="15377" width="10.7109375" customWidth="1"/>
    <col min="15378" max="15378" width="11" customWidth="1"/>
    <col min="15379" max="15379" width="12.140625" customWidth="1"/>
    <col min="15380" max="15381" width="0" hidden="1" customWidth="1"/>
    <col min="15382" max="15382" width="15.7109375" customWidth="1"/>
    <col min="15618" max="15618" width="27.85546875" customWidth="1"/>
    <col min="15619" max="15619" width="11" customWidth="1"/>
    <col min="15620" max="15620" width="10.5703125" customWidth="1"/>
    <col min="15621" max="15622" width="10.7109375" customWidth="1"/>
    <col min="15623" max="15624" width="11.28515625" customWidth="1"/>
    <col min="15625" max="15625" width="10.7109375" customWidth="1"/>
    <col min="15626" max="15627" width="11.5703125" customWidth="1"/>
    <col min="15628" max="15628" width="10.7109375" customWidth="1"/>
    <col min="15629" max="15630" width="11.140625" customWidth="1"/>
    <col min="15631" max="15631" width="12.28515625" customWidth="1"/>
    <col min="15632" max="15632" width="11" customWidth="1"/>
    <col min="15633" max="15633" width="10.7109375" customWidth="1"/>
    <col min="15634" max="15634" width="11" customWidth="1"/>
    <col min="15635" max="15635" width="12.140625" customWidth="1"/>
    <col min="15636" max="15637" width="0" hidden="1" customWidth="1"/>
    <col min="15638" max="15638" width="15.7109375" customWidth="1"/>
    <col min="15874" max="15874" width="27.85546875" customWidth="1"/>
    <col min="15875" max="15875" width="11" customWidth="1"/>
    <col min="15876" max="15876" width="10.5703125" customWidth="1"/>
    <col min="15877" max="15878" width="10.7109375" customWidth="1"/>
    <col min="15879" max="15880" width="11.28515625" customWidth="1"/>
    <col min="15881" max="15881" width="10.7109375" customWidth="1"/>
    <col min="15882" max="15883" width="11.5703125" customWidth="1"/>
    <col min="15884" max="15884" width="10.7109375" customWidth="1"/>
    <col min="15885" max="15886" width="11.140625" customWidth="1"/>
    <col min="15887" max="15887" width="12.28515625" customWidth="1"/>
    <col min="15888" max="15888" width="11" customWidth="1"/>
    <col min="15889" max="15889" width="10.7109375" customWidth="1"/>
    <col min="15890" max="15890" width="11" customWidth="1"/>
    <col min="15891" max="15891" width="12.140625" customWidth="1"/>
    <col min="15892" max="15893" width="0" hidden="1" customWidth="1"/>
    <col min="15894" max="15894" width="15.7109375" customWidth="1"/>
    <col min="16130" max="16130" width="27.85546875" customWidth="1"/>
    <col min="16131" max="16131" width="11" customWidth="1"/>
    <col min="16132" max="16132" width="10.5703125" customWidth="1"/>
    <col min="16133" max="16134" width="10.7109375" customWidth="1"/>
    <col min="16135" max="16136" width="11.28515625" customWidth="1"/>
    <col min="16137" max="16137" width="10.7109375" customWidth="1"/>
    <col min="16138" max="16139" width="11.5703125" customWidth="1"/>
    <col min="16140" max="16140" width="10.7109375" customWidth="1"/>
    <col min="16141" max="16142" width="11.140625" customWidth="1"/>
    <col min="16143" max="16143" width="12.28515625" customWidth="1"/>
    <col min="16144" max="16144" width="11" customWidth="1"/>
    <col min="16145" max="16145" width="10.7109375" customWidth="1"/>
    <col min="16146" max="16146" width="11" customWidth="1"/>
    <col min="16147" max="16147" width="12.140625" customWidth="1"/>
    <col min="16148" max="16149" width="0" hidden="1" customWidth="1"/>
    <col min="16150" max="16150" width="15.7109375" customWidth="1"/>
  </cols>
  <sheetData>
    <row r="1" spans="1:21" ht="18" x14ac:dyDescent="0.25">
      <c r="A1" s="138" t="s">
        <v>663</v>
      </c>
      <c r="B1" s="139"/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139"/>
      <c r="N1" s="139"/>
      <c r="O1" s="139"/>
      <c r="P1" s="139"/>
      <c r="Q1" s="139"/>
      <c r="R1" s="139"/>
      <c r="S1" s="139"/>
    </row>
    <row r="2" spans="1:21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21" ht="33.75" customHeight="1" x14ac:dyDescent="0.3">
      <c r="A3" s="140"/>
      <c r="B3" s="142" t="s">
        <v>233</v>
      </c>
      <c r="C3" s="141" t="s">
        <v>438</v>
      </c>
      <c r="D3" s="140">
        <v>1</v>
      </c>
      <c r="E3" s="140">
        <v>2</v>
      </c>
      <c r="F3" s="140">
        <v>3</v>
      </c>
      <c r="G3" s="385" t="s">
        <v>439</v>
      </c>
      <c r="H3" s="140">
        <v>4</v>
      </c>
      <c r="I3" s="140">
        <v>5</v>
      </c>
      <c r="J3" s="140">
        <v>6</v>
      </c>
      <c r="K3" s="385" t="s">
        <v>440</v>
      </c>
      <c r="L3" s="140">
        <v>7</v>
      </c>
      <c r="M3" s="140">
        <v>8</v>
      </c>
      <c r="N3" s="140">
        <v>9</v>
      </c>
      <c r="O3" s="385" t="s">
        <v>441</v>
      </c>
      <c r="P3" s="140">
        <v>10</v>
      </c>
      <c r="Q3" s="140">
        <v>11</v>
      </c>
      <c r="R3" s="30">
        <v>12</v>
      </c>
      <c r="S3" s="142" t="s">
        <v>233</v>
      </c>
    </row>
    <row r="4" spans="1:21" s="93" customFormat="1" ht="18.75" hidden="1" x14ac:dyDescent="0.3">
      <c r="A4" s="143" t="s">
        <v>100</v>
      </c>
      <c r="B4" s="386">
        <f>C4+G4+K4+O4</f>
        <v>293449.2</v>
      </c>
      <c r="C4" s="386">
        <f>C5+C6+C7+C8+C9</f>
        <v>43845</v>
      </c>
      <c r="D4" s="387">
        <v>7110</v>
      </c>
      <c r="E4" s="387">
        <v>19535</v>
      </c>
      <c r="F4" s="387">
        <v>17200</v>
      </c>
      <c r="G4" s="386">
        <f>G5+G6+G7+G8+G9</f>
        <v>65290</v>
      </c>
      <c r="H4" s="387">
        <v>20900</v>
      </c>
      <c r="I4" s="387">
        <v>18090</v>
      </c>
      <c r="J4" s="387">
        <v>26300</v>
      </c>
      <c r="K4" s="386">
        <f>K5+K6+K7+K8+K9</f>
        <v>70577.399999999994</v>
      </c>
      <c r="L4" s="387">
        <v>26377.4</v>
      </c>
      <c r="M4" s="387">
        <v>22100</v>
      </c>
      <c r="N4" s="387">
        <v>22100</v>
      </c>
      <c r="O4" s="386">
        <f>O5+O6+O7+O8+O9</f>
        <v>113736.8</v>
      </c>
      <c r="P4" s="387">
        <v>22100</v>
      </c>
      <c r="Q4" s="387">
        <v>22100</v>
      </c>
      <c r="R4" s="387">
        <v>69536.800000000003</v>
      </c>
      <c r="S4" s="386">
        <f>C4+G4+K4+O4</f>
        <v>293449.2</v>
      </c>
      <c r="T4" s="144"/>
      <c r="U4" s="93">
        <v>99313.8</v>
      </c>
    </row>
    <row r="5" spans="1:21" s="93" customFormat="1" ht="18.75" hidden="1" x14ac:dyDescent="0.3">
      <c r="A5" s="388">
        <v>10102010</v>
      </c>
      <c r="B5" s="386">
        <f t="shared" ref="B5:B33" si="0">C5+G5+K5+O5</f>
        <v>288792.09999999998</v>
      </c>
      <c r="C5" s="386">
        <f>D5+E5+F5</f>
        <v>43627</v>
      </c>
      <c r="D5" s="389">
        <f>D4-D6-D7-D8-D9</f>
        <v>7105</v>
      </c>
      <c r="E5" s="389">
        <f>E4-E6-E7-E8-E9</f>
        <v>19530</v>
      </c>
      <c r="F5" s="389">
        <f>F4-F6-F7-F8-F9</f>
        <v>16992</v>
      </c>
      <c r="G5" s="386">
        <f>H5+I5+J5</f>
        <v>64925</v>
      </c>
      <c r="H5" s="389">
        <f>H4-H6-H7-H8-H9</f>
        <v>20880</v>
      </c>
      <c r="I5" s="389">
        <f>I4-I6-I7-I8-I9</f>
        <v>18070</v>
      </c>
      <c r="J5" s="389">
        <f>J4-J6-J7-J8-J9</f>
        <v>25975</v>
      </c>
      <c r="K5" s="386">
        <f>L5+M5+N5</f>
        <v>68927.399999999994</v>
      </c>
      <c r="L5" s="389">
        <f>L4-L6-L7-L8-L9</f>
        <v>26352.400000000001</v>
      </c>
      <c r="M5" s="389">
        <f>M4-M6-M7-M8-M9</f>
        <v>22085</v>
      </c>
      <c r="N5" s="389">
        <f>N4-N6-N7-N8-N9</f>
        <v>20490</v>
      </c>
      <c r="O5" s="386">
        <f>P5+Q5+R5</f>
        <v>111312.7</v>
      </c>
      <c r="P5" s="389">
        <f>P4-P6-P7-P8-P9</f>
        <v>21665</v>
      </c>
      <c r="Q5" s="389">
        <f>Q4-Q6-Q7-Q8-Q9</f>
        <v>20850</v>
      </c>
      <c r="R5" s="389">
        <f>R4-R6-R7-R8-R9</f>
        <v>68797.7</v>
      </c>
      <c r="S5" s="386">
        <f>C5+G5+K5+O5</f>
        <v>288792.09999999998</v>
      </c>
      <c r="T5" s="144"/>
    </row>
    <row r="6" spans="1:21" s="93" customFormat="1" ht="18.75" hidden="1" x14ac:dyDescent="0.3">
      <c r="A6" s="388">
        <v>10102020</v>
      </c>
      <c r="B6" s="386">
        <f t="shared" si="0"/>
        <v>1800</v>
      </c>
      <c r="C6" s="386">
        <f>D6+E6+F6</f>
        <v>0</v>
      </c>
      <c r="D6" s="389"/>
      <c r="E6" s="389"/>
      <c r="F6" s="389"/>
      <c r="G6" s="386">
        <f>H6+I6+J6</f>
        <v>0</v>
      </c>
      <c r="H6" s="389"/>
      <c r="I6" s="389"/>
      <c r="J6" s="389"/>
      <c r="K6" s="386">
        <f>L6+M6+N6</f>
        <v>1000</v>
      </c>
      <c r="L6" s="389"/>
      <c r="M6" s="389"/>
      <c r="N6" s="389">
        <v>1000</v>
      </c>
      <c r="O6" s="386">
        <f>P6+Q6+R6</f>
        <v>800</v>
      </c>
      <c r="P6" s="389"/>
      <c r="Q6" s="389">
        <v>800</v>
      </c>
      <c r="R6" s="389"/>
      <c r="S6" s="386">
        <f t="shared" ref="S6:S33" si="1">C6+G6+K6+O6</f>
        <v>1800</v>
      </c>
      <c r="T6" s="144"/>
    </row>
    <row r="7" spans="1:21" s="93" customFormat="1" ht="18.75" hidden="1" x14ac:dyDescent="0.3">
      <c r="A7" s="388">
        <v>10102030</v>
      </c>
      <c r="B7" s="386">
        <f t="shared" si="0"/>
        <v>2500</v>
      </c>
      <c r="C7" s="386">
        <f t="shared" ref="C7:C21" si="2">D7+E7+F7</f>
        <v>200</v>
      </c>
      <c r="D7" s="389"/>
      <c r="E7" s="389"/>
      <c r="F7" s="389">
        <v>200</v>
      </c>
      <c r="G7" s="386">
        <f t="shared" ref="G7:G21" si="3">H7+I7+J7</f>
        <v>300</v>
      </c>
      <c r="H7" s="389"/>
      <c r="I7" s="389"/>
      <c r="J7" s="389">
        <v>300</v>
      </c>
      <c r="K7" s="386">
        <f t="shared" ref="K7:K21" si="4">L7+M7+N7</f>
        <v>600</v>
      </c>
      <c r="L7" s="389"/>
      <c r="M7" s="389"/>
      <c r="N7" s="389">
        <v>600</v>
      </c>
      <c r="O7" s="386">
        <f t="shared" ref="O7:O21" si="5">P7+Q7+R7</f>
        <v>1400</v>
      </c>
      <c r="P7" s="389">
        <v>400</v>
      </c>
      <c r="Q7" s="389">
        <v>400</v>
      </c>
      <c r="R7" s="389">
        <v>600</v>
      </c>
      <c r="S7" s="386">
        <f t="shared" si="1"/>
        <v>2500</v>
      </c>
      <c r="T7" s="144"/>
    </row>
    <row r="8" spans="1:21" s="93" customFormat="1" ht="18.75" hidden="1" x14ac:dyDescent="0.3">
      <c r="A8" s="388">
        <v>10102040</v>
      </c>
      <c r="B8" s="386">
        <f t="shared" si="0"/>
        <v>268</v>
      </c>
      <c r="C8" s="386">
        <f t="shared" si="2"/>
        <v>18</v>
      </c>
      <c r="D8" s="389">
        <v>5</v>
      </c>
      <c r="E8" s="389">
        <v>5</v>
      </c>
      <c r="F8" s="389">
        <v>8</v>
      </c>
      <c r="G8" s="386">
        <f t="shared" si="3"/>
        <v>65</v>
      </c>
      <c r="H8" s="389">
        <v>20</v>
      </c>
      <c r="I8" s="389">
        <v>20</v>
      </c>
      <c r="J8" s="389">
        <v>25</v>
      </c>
      <c r="K8" s="386">
        <f t="shared" si="4"/>
        <v>50</v>
      </c>
      <c r="L8" s="389">
        <v>25</v>
      </c>
      <c r="M8" s="389">
        <v>15</v>
      </c>
      <c r="N8" s="389">
        <v>10</v>
      </c>
      <c r="O8" s="386">
        <f t="shared" si="5"/>
        <v>135</v>
      </c>
      <c r="P8" s="389">
        <v>35</v>
      </c>
      <c r="Q8" s="389">
        <v>50</v>
      </c>
      <c r="R8" s="389">
        <v>50</v>
      </c>
      <c r="S8" s="386">
        <f>C8+G8+K8+O8</f>
        <v>268</v>
      </c>
      <c r="T8" s="144"/>
    </row>
    <row r="9" spans="1:21" s="93" customFormat="1" ht="18.75" hidden="1" x14ac:dyDescent="0.3">
      <c r="A9" s="388">
        <v>10102080</v>
      </c>
      <c r="B9" s="386">
        <f t="shared" si="0"/>
        <v>89.1</v>
      </c>
      <c r="C9" s="386">
        <f t="shared" si="2"/>
        <v>0</v>
      </c>
      <c r="D9" s="389"/>
      <c r="E9" s="389"/>
      <c r="F9" s="389"/>
      <c r="G9" s="386">
        <f t="shared" si="3"/>
        <v>0</v>
      </c>
      <c r="H9" s="389"/>
      <c r="I9" s="389"/>
      <c r="J9" s="389"/>
      <c r="K9" s="386">
        <f t="shared" si="4"/>
        <v>0</v>
      </c>
      <c r="L9" s="389"/>
      <c r="M9" s="389"/>
      <c r="N9" s="389"/>
      <c r="O9" s="386">
        <f t="shared" si="5"/>
        <v>89.1</v>
      </c>
      <c r="P9" s="389"/>
      <c r="Q9" s="389"/>
      <c r="R9" s="389">
        <v>89.1</v>
      </c>
      <c r="S9" s="386">
        <f t="shared" si="1"/>
        <v>89.1</v>
      </c>
      <c r="T9" s="144"/>
    </row>
    <row r="10" spans="1:21" s="103" customFormat="1" ht="18.75" hidden="1" x14ac:dyDescent="0.3">
      <c r="A10" s="143" t="s">
        <v>234</v>
      </c>
      <c r="B10" s="386">
        <f t="shared" si="0"/>
        <v>21189.3</v>
      </c>
      <c r="C10" s="386">
        <f t="shared" si="2"/>
        <v>1500</v>
      </c>
      <c r="D10" s="387"/>
      <c r="E10" s="387"/>
      <c r="F10" s="389">
        <v>1500</v>
      </c>
      <c r="G10" s="386">
        <f t="shared" si="3"/>
        <v>9500</v>
      </c>
      <c r="H10" s="389">
        <v>8000</v>
      </c>
      <c r="I10" s="389">
        <v>500</v>
      </c>
      <c r="J10" s="389">
        <v>1000</v>
      </c>
      <c r="K10" s="386">
        <f t="shared" si="4"/>
        <v>4800</v>
      </c>
      <c r="L10" s="389">
        <v>4000</v>
      </c>
      <c r="M10" s="389">
        <v>500</v>
      </c>
      <c r="N10" s="389">
        <v>300</v>
      </c>
      <c r="O10" s="386">
        <f t="shared" si="5"/>
        <v>5389.3</v>
      </c>
      <c r="P10" s="389">
        <v>5000</v>
      </c>
      <c r="Q10" s="389">
        <v>300</v>
      </c>
      <c r="R10" s="389">
        <v>89.3</v>
      </c>
      <c r="S10" s="386">
        <f t="shared" si="1"/>
        <v>21189.3</v>
      </c>
      <c r="T10" s="145"/>
    </row>
    <row r="11" spans="1:21" s="148" customFormat="1" ht="18.75" hidden="1" x14ac:dyDescent="0.3">
      <c r="A11" s="146">
        <v>10501011</v>
      </c>
      <c r="B11" s="386">
        <f t="shared" si="0"/>
        <v>15669.3</v>
      </c>
      <c r="C11" s="386">
        <f t="shared" si="2"/>
        <v>900</v>
      </c>
      <c r="D11" s="390">
        <f>D10-D12</f>
        <v>-15</v>
      </c>
      <c r="E11" s="390">
        <f>E10-E12</f>
        <v>-75</v>
      </c>
      <c r="F11" s="390">
        <f>F10-F12</f>
        <v>990</v>
      </c>
      <c r="G11" s="386">
        <f t="shared" si="3"/>
        <v>7790</v>
      </c>
      <c r="H11" s="390">
        <f>H10-H12</f>
        <v>7760</v>
      </c>
      <c r="I11" s="390">
        <f>I10-I12</f>
        <v>-550</v>
      </c>
      <c r="J11" s="390">
        <f>J10-J12</f>
        <v>580</v>
      </c>
      <c r="K11" s="386">
        <f t="shared" si="4"/>
        <v>3927</v>
      </c>
      <c r="L11" s="390">
        <f>L10-L12</f>
        <v>3460</v>
      </c>
      <c r="M11" s="390">
        <f>M10-M12</f>
        <v>467</v>
      </c>
      <c r="N11" s="390">
        <f>N10-N12</f>
        <v>0</v>
      </c>
      <c r="O11" s="386">
        <f t="shared" si="5"/>
        <v>3052.3</v>
      </c>
      <c r="P11" s="390">
        <f>P10-P12</f>
        <v>4370</v>
      </c>
      <c r="Q11" s="390">
        <f>Q10-Q12</f>
        <v>-750</v>
      </c>
      <c r="R11" s="390">
        <f>R10-R12</f>
        <v>-567.70000000000005</v>
      </c>
      <c r="S11" s="386">
        <f t="shared" si="1"/>
        <v>15669.3</v>
      </c>
      <c r="T11" s="147"/>
    </row>
    <row r="12" spans="1:21" s="148" customFormat="1" ht="18.75" hidden="1" x14ac:dyDescent="0.3">
      <c r="A12" s="146">
        <v>10501021</v>
      </c>
      <c r="B12" s="386">
        <f t="shared" si="0"/>
        <v>5520</v>
      </c>
      <c r="C12" s="386">
        <f t="shared" si="2"/>
        <v>600</v>
      </c>
      <c r="D12" s="390">
        <v>15</v>
      </c>
      <c r="E12" s="390">
        <v>75</v>
      </c>
      <c r="F12" s="390">
        <v>510</v>
      </c>
      <c r="G12" s="386">
        <f t="shared" si="3"/>
        <v>1710</v>
      </c>
      <c r="H12" s="390">
        <v>240</v>
      </c>
      <c r="I12" s="390">
        <v>1050</v>
      </c>
      <c r="J12" s="390">
        <v>420</v>
      </c>
      <c r="K12" s="386">
        <f t="shared" si="4"/>
        <v>873</v>
      </c>
      <c r="L12" s="390">
        <v>540</v>
      </c>
      <c r="M12" s="390">
        <v>33</v>
      </c>
      <c r="N12" s="390">
        <v>300</v>
      </c>
      <c r="O12" s="386">
        <f t="shared" si="5"/>
        <v>2337</v>
      </c>
      <c r="P12" s="390">
        <v>630</v>
      </c>
      <c r="Q12" s="390">
        <v>1050</v>
      </c>
      <c r="R12" s="390">
        <v>657</v>
      </c>
      <c r="S12" s="386">
        <f t="shared" si="1"/>
        <v>5520</v>
      </c>
      <c r="T12" s="147"/>
    </row>
    <row r="13" spans="1:21" s="148" customFormat="1" ht="18.75" hidden="1" x14ac:dyDescent="0.3">
      <c r="A13" s="146" t="s">
        <v>235</v>
      </c>
      <c r="B13" s="386">
        <f t="shared" si="0"/>
        <v>0</v>
      </c>
      <c r="C13" s="386">
        <f t="shared" si="2"/>
        <v>0</v>
      </c>
      <c r="D13" s="390"/>
      <c r="E13" s="390"/>
      <c r="F13" s="390"/>
      <c r="G13" s="386">
        <f t="shared" si="3"/>
        <v>0</v>
      </c>
      <c r="H13" s="390"/>
      <c r="I13" s="390"/>
      <c r="J13" s="390"/>
      <c r="K13" s="386">
        <f t="shared" si="4"/>
        <v>0</v>
      </c>
      <c r="L13" s="390"/>
      <c r="M13" s="390"/>
      <c r="N13" s="390"/>
      <c r="O13" s="386">
        <f t="shared" si="5"/>
        <v>0</v>
      </c>
      <c r="P13" s="390"/>
      <c r="Q13" s="390"/>
      <c r="R13" s="391"/>
      <c r="S13" s="386">
        <f t="shared" si="1"/>
        <v>0</v>
      </c>
      <c r="T13" s="147"/>
    </row>
    <row r="14" spans="1:21" s="148" customFormat="1" ht="18.75" hidden="1" x14ac:dyDescent="0.3">
      <c r="A14" s="149" t="s">
        <v>236</v>
      </c>
      <c r="B14" s="386">
        <f t="shared" si="0"/>
        <v>475.1</v>
      </c>
      <c r="C14" s="386">
        <f t="shared" si="2"/>
        <v>80</v>
      </c>
      <c r="D14" s="390">
        <v>30</v>
      </c>
      <c r="E14" s="390">
        <v>50</v>
      </c>
      <c r="F14" s="390"/>
      <c r="G14" s="386">
        <f t="shared" si="3"/>
        <v>150</v>
      </c>
      <c r="H14" s="390">
        <v>150</v>
      </c>
      <c r="I14" s="390"/>
      <c r="J14" s="390"/>
      <c r="K14" s="386">
        <f t="shared" si="4"/>
        <v>120</v>
      </c>
      <c r="L14" s="390"/>
      <c r="M14" s="390">
        <v>100</v>
      </c>
      <c r="N14" s="390">
        <v>20</v>
      </c>
      <c r="O14" s="386">
        <f t="shared" si="5"/>
        <v>125.1</v>
      </c>
      <c r="P14" s="390">
        <v>75.099999999999994</v>
      </c>
      <c r="Q14" s="390">
        <v>50</v>
      </c>
      <c r="R14" s="391"/>
      <c r="S14" s="386">
        <f t="shared" si="1"/>
        <v>475.1</v>
      </c>
      <c r="T14" s="147"/>
    </row>
    <row r="15" spans="1:21" ht="18.75" hidden="1" x14ac:dyDescent="0.3">
      <c r="A15" s="149" t="s">
        <v>164</v>
      </c>
      <c r="B15" s="386">
        <f t="shared" si="0"/>
        <v>1829</v>
      </c>
      <c r="C15" s="386">
        <f t="shared" si="2"/>
        <v>1400</v>
      </c>
      <c r="D15" s="390"/>
      <c r="E15" s="390"/>
      <c r="F15" s="390">
        <v>1400</v>
      </c>
      <c r="G15" s="386">
        <f t="shared" si="3"/>
        <v>0</v>
      </c>
      <c r="H15" s="390"/>
      <c r="I15" s="390"/>
      <c r="J15" s="390"/>
      <c r="K15" s="386">
        <f t="shared" si="4"/>
        <v>429</v>
      </c>
      <c r="L15" s="390">
        <v>429</v>
      </c>
      <c r="M15" s="390"/>
      <c r="N15" s="390"/>
      <c r="O15" s="386">
        <f t="shared" si="5"/>
        <v>0</v>
      </c>
      <c r="P15" s="390"/>
      <c r="Q15" s="390"/>
      <c r="R15" s="390"/>
      <c r="S15" s="386">
        <f t="shared" si="1"/>
        <v>1829</v>
      </c>
      <c r="T15" s="150"/>
      <c r="U15">
        <v>122.6</v>
      </c>
    </row>
    <row r="16" spans="1:21" s="93" customFormat="1" ht="18.75" hidden="1" x14ac:dyDescent="0.3">
      <c r="A16" s="151" t="s">
        <v>101</v>
      </c>
      <c r="B16" s="386">
        <f t="shared" si="0"/>
        <v>24762.9</v>
      </c>
      <c r="C16" s="386">
        <f t="shared" si="2"/>
        <v>5416.4</v>
      </c>
      <c r="D16" s="389">
        <v>1647</v>
      </c>
      <c r="E16" s="389">
        <v>364.3</v>
      </c>
      <c r="F16" s="389">
        <v>3405.1</v>
      </c>
      <c r="G16" s="386">
        <f t="shared" si="3"/>
        <v>6165.6</v>
      </c>
      <c r="H16" s="389">
        <v>2054</v>
      </c>
      <c r="I16" s="389">
        <v>1981.2</v>
      </c>
      <c r="J16" s="389">
        <v>2130.4</v>
      </c>
      <c r="K16" s="386">
        <f t="shared" si="4"/>
        <v>6327.7999999999993</v>
      </c>
      <c r="L16" s="389">
        <v>2023.2</v>
      </c>
      <c r="M16" s="389">
        <v>2130.6999999999998</v>
      </c>
      <c r="N16" s="389">
        <v>2173.9</v>
      </c>
      <c r="O16" s="386">
        <f t="shared" si="5"/>
        <v>6853.1</v>
      </c>
      <c r="P16" s="389">
        <v>2225.4</v>
      </c>
      <c r="Q16" s="389">
        <v>1119.7</v>
      </c>
      <c r="R16" s="389">
        <v>3508</v>
      </c>
      <c r="S16" s="386">
        <f t="shared" si="1"/>
        <v>24762.9</v>
      </c>
      <c r="T16" s="144"/>
    </row>
    <row r="17" spans="1:22" ht="18.75" hidden="1" x14ac:dyDescent="0.3">
      <c r="A17" s="149" t="s">
        <v>237</v>
      </c>
      <c r="B17" s="386">
        <f t="shared" si="0"/>
        <v>5312.3</v>
      </c>
      <c r="C17" s="386">
        <f t="shared" si="2"/>
        <v>1151.7</v>
      </c>
      <c r="D17" s="390">
        <v>292.2</v>
      </c>
      <c r="E17" s="390">
        <v>382</v>
      </c>
      <c r="F17" s="390">
        <v>477.5</v>
      </c>
      <c r="G17" s="386">
        <f t="shared" si="3"/>
        <v>1286.0999999999999</v>
      </c>
      <c r="H17" s="390">
        <v>462.7</v>
      </c>
      <c r="I17" s="390">
        <v>401.6</v>
      </c>
      <c r="J17" s="390">
        <v>421.8</v>
      </c>
      <c r="K17" s="386">
        <f t="shared" si="4"/>
        <v>1376.9</v>
      </c>
      <c r="L17" s="390">
        <v>439.9</v>
      </c>
      <c r="M17" s="390">
        <v>468</v>
      </c>
      <c r="N17" s="390">
        <v>469</v>
      </c>
      <c r="O17" s="386">
        <f t="shared" si="5"/>
        <v>1497.6000000000001</v>
      </c>
      <c r="P17" s="390">
        <v>494.6</v>
      </c>
      <c r="Q17" s="390">
        <v>489.3</v>
      </c>
      <c r="R17" s="390">
        <v>513.70000000000005</v>
      </c>
      <c r="S17" s="386">
        <f t="shared" si="1"/>
        <v>5312.3</v>
      </c>
      <c r="T17" s="94" t="e">
        <f>#REF!+#REF!</f>
        <v>#REF!</v>
      </c>
      <c r="U17" s="94" t="e">
        <f>#REF!+#REF!</f>
        <v>#REF!</v>
      </c>
    </row>
    <row r="18" spans="1:22" ht="18.75" hidden="1" x14ac:dyDescent="0.3">
      <c r="A18" s="149" t="s">
        <v>238</v>
      </c>
      <c r="B18" s="386">
        <f t="shared" si="0"/>
        <v>8528</v>
      </c>
      <c r="C18" s="386">
        <f t="shared" si="2"/>
        <v>700</v>
      </c>
      <c r="D18" s="390">
        <v>100</v>
      </c>
      <c r="E18" s="390">
        <v>400</v>
      </c>
      <c r="F18" s="390">
        <v>200</v>
      </c>
      <c r="G18" s="386">
        <f t="shared" si="3"/>
        <v>80</v>
      </c>
      <c r="H18" s="390">
        <v>40</v>
      </c>
      <c r="I18" s="390">
        <v>20</v>
      </c>
      <c r="J18" s="390">
        <v>20</v>
      </c>
      <c r="K18" s="386">
        <f t="shared" si="4"/>
        <v>1548</v>
      </c>
      <c r="L18" s="390">
        <v>20</v>
      </c>
      <c r="M18" s="390">
        <v>28</v>
      </c>
      <c r="N18" s="390">
        <v>1500</v>
      </c>
      <c r="O18" s="386">
        <f t="shared" si="5"/>
        <v>6200</v>
      </c>
      <c r="P18" s="390">
        <v>1600</v>
      </c>
      <c r="Q18" s="390">
        <v>3000</v>
      </c>
      <c r="R18" s="391">
        <v>1600</v>
      </c>
      <c r="S18" s="386">
        <f t="shared" si="1"/>
        <v>8528</v>
      </c>
      <c r="T18" s="150"/>
    </row>
    <row r="19" spans="1:22" ht="18.75" hidden="1" x14ac:dyDescent="0.3">
      <c r="A19" s="151" t="s">
        <v>104</v>
      </c>
      <c r="B19" s="386">
        <f t="shared" si="0"/>
        <v>22172.400000000001</v>
      </c>
      <c r="C19" s="386">
        <f t="shared" si="2"/>
        <v>1970</v>
      </c>
      <c r="D19" s="389">
        <f>D20+D21</f>
        <v>0</v>
      </c>
      <c r="E19" s="389">
        <f>E20+E21</f>
        <v>1600</v>
      </c>
      <c r="F19" s="389">
        <f>F20+F21</f>
        <v>370</v>
      </c>
      <c r="G19" s="386">
        <f t="shared" si="3"/>
        <v>1870</v>
      </c>
      <c r="H19" s="389">
        <f>H20+H21</f>
        <v>1600</v>
      </c>
      <c r="I19" s="389">
        <f>I20+I21</f>
        <v>220</v>
      </c>
      <c r="J19" s="389">
        <f>J20+J21</f>
        <v>50</v>
      </c>
      <c r="K19" s="386">
        <f t="shared" si="4"/>
        <v>3270</v>
      </c>
      <c r="L19" s="389">
        <f>L20+L21</f>
        <v>1600</v>
      </c>
      <c r="M19" s="389">
        <f>M20+M21</f>
        <v>170</v>
      </c>
      <c r="N19" s="389">
        <f>N20+N21</f>
        <v>1500</v>
      </c>
      <c r="O19" s="386">
        <f t="shared" si="5"/>
        <v>15062.4</v>
      </c>
      <c r="P19" s="389">
        <f>P20+P21</f>
        <v>3100</v>
      </c>
      <c r="Q19" s="389">
        <f>Q20+Q21</f>
        <v>4225</v>
      </c>
      <c r="R19" s="389">
        <f>R20+R21</f>
        <v>7737.4</v>
      </c>
      <c r="S19" s="386">
        <f t="shared" si="1"/>
        <v>22172.400000000001</v>
      </c>
      <c r="T19" s="150"/>
    </row>
    <row r="20" spans="1:22" ht="18.75" hidden="1" x14ac:dyDescent="0.3">
      <c r="A20" s="149" t="s">
        <v>239</v>
      </c>
      <c r="B20" s="386">
        <f t="shared" si="0"/>
        <v>8452</v>
      </c>
      <c r="C20" s="386">
        <f t="shared" si="2"/>
        <v>1620</v>
      </c>
      <c r="D20" s="390"/>
      <c r="E20" s="390">
        <v>1500</v>
      </c>
      <c r="F20" s="390">
        <v>120</v>
      </c>
      <c r="G20" s="386">
        <f t="shared" si="3"/>
        <v>1620</v>
      </c>
      <c r="H20" s="390">
        <v>1500</v>
      </c>
      <c r="I20" s="390">
        <v>120</v>
      </c>
      <c r="J20" s="390"/>
      <c r="K20" s="386">
        <f t="shared" si="4"/>
        <v>1620</v>
      </c>
      <c r="L20" s="390">
        <v>1500</v>
      </c>
      <c r="M20" s="390">
        <v>120</v>
      </c>
      <c r="N20" s="390"/>
      <c r="O20" s="386">
        <f t="shared" si="5"/>
        <v>3592</v>
      </c>
      <c r="P20" s="390">
        <v>1500</v>
      </c>
      <c r="Q20" s="390">
        <v>120</v>
      </c>
      <c r="R20" s="391">
        <v>1972</v>
      </c>
      <c r="S20" s="386">
        <f t="shared" si="1"/>
        <v>8452</v>
      </c>
      <c r="T20" s="150"/>
    </row>
    <row r="21" spans="1:22" ht="18.75" hidden="1" x14ac:dyDescent="0.3">
      <c r="A21" s="149" t="s">
        <v>240</v>
      </c>
      <c r="B21" s="386">
        <f t="shared" si="0"/>
        <v>13720.4</v>
      </c>
      <c r="C21" s="386">
        <f t="shared" si="2"/>
        <v>350</v>
      </c>
      <c r="D21" s="390"/>
      <c r="E21" s="390">
        <v>100</v>
      </c>
      <c r="F21" s="390">
        <v>250</v>
      </c>
      <c r="G21" s="386">
        <f t="shared" si="3"/>
        <v>250</v>
      </c>
      <c r="H21" s="390">
        <v>100</v>
      </c>
      <c r="I21" s="390">
        <v>100</v>
      </c>
      <c r="J21" s="390">
        <v>50</v>
      </c>
      <c r="K21" s="386">
        <f t="shared" si="4"/>
        <v>1650</v>
      </c>
      <c r="L21" s="390">
        <v>100</v>
      </c>
      <c r="M21" s="390">
        <v>50</v>
      </c>
      <c r="N21" s="390">
        <v>1500</v>
      </c>
      <c r="O21" s="386">
        <f t="shared" si="5"/>
        <v>11470.4</v>
      </c>
      <c r="P21" s="390">
        <v>1600</v>
      </c>
      <c r="Q21" s="390">
        <v>4105</v>
      </c>
      <c r="R21" s="391">
        <v>5765.4</v>
      </c>
      <c r="S21" s="386">
        <f t="shared" si="1"/>
        <v>13720.4</v>
      </c>
      <c r="T21" s="150"/>
    </row>
    <row r="22" spans="1:22" s="148" customFormat="1" ht="23.25" customHeight="1" x14ac:dyDescent="0.3">
      <c r="A22" s="392" t="s">
        <v>145</v>
      </c>
      <c r="B22" s="386">
        <f t="shared" si="0"/>
        <v>377718.20000000007</v>
      </c>
      <c r="C22" s="393">
        <f>C4+C10+C13+C14+C15+C17+C18+C19+C16</f>
        <v>56063.1</v>
      </c>
      <c r="D22" s="393">
        <f t="shared" ref="D22:R22" si="6">D4+D10+D13+D14+D15+D17+D18+D19+D16</f>
        <v>9179.2000000000007</v>
      </c>
      <c r="E22" s="393">
        <f t="shared" si="6"/>
        <v>22331.3</v>
      </c>
      <c r="F22" s="393">
        <f t="shared" si="6"/>
        <v>24552.6</v>
      </c>
      <c r="G22" s="393">
        <f t="shared" si="6"/>
        <v>84341.700000000012</v>
      </c>
      <c r="H22" s="393">
        <f t="shared" si="6"/>
        <v>33206.699999999997</v>
      </c>
      <c r="I22" s="393">
        <f t="shared" si="6"/>
        <v>21212.799999999999</v>
      </c>
      <c r="J22" s="393">
        <f t="shared" si="6"/>
        <v>29922.2</v>
      </c>
      <c r="K22" s="393">
        <f t="shared" si="6"/>
        <v>88449.099999999991</v>
      </c>
      <c r="L22" s="393">
        <f t="shared" si="6"/>
        <v>34889.5</v>
      </c>
      <c r="M22" s="393">
        <f t="shared" si="6"/>
        <v>25496.7</v>
      </c>
      <c r="N22" s="393">
        <f t="shared" si="6"/>
        <v>28062.9</v>
      </c>
      <c r="O22" s="393">
        <f t="shared" si="6"/>
        <v>148864.30000000002</v>
      </c>
      <c r="P22" s="393">
        <f t="shared" si="6"/>
        <v>34595.1</v>
      </c>
      <c r="Q22" s="393">
        <f t="shared" si="6"/>
        <v>31284</v>
      </c>
      <c r="R22" s="393">
        <f t="shared" si="6"/>
        <v>82985.2</v>
      </c>
      <c r="S22" s="386">
        <f t="shared" si="1"/>
        <v>377718.20000000007</v>
      </c>
      <c r="T22" s="152" t="e">
        <f>T4+T10+T14+T15+T16+T17+T18+T19+T17</f>
        <v>#REF!</v>
      </c>
      <c r="U22" s="152" t="e">
        <f>U4+U10+U14+U15+U16+U17+U18+U19+U17</f>
        <v>#REF!</v>
      </c>
      <c r="V22" s="394"/>
    </row>
    <row r="23" spans="1:22" ht="18.75" x14ac:dyDescent="0.3">
      <c r="A23" s="151" t="s">
        <v>241</v>
      </c>
      <c r="B23" s="386">
        <f t="shared" si="0"/>
        <v>135</v>
      </c>
      <c r="C23" s="386">
        <f t="shared" ref="C23:C31" si="7">D23+E23+F23</f>
        <v>0</v>
      </c>
      <c r="D23" s="389"/>
      <c r="E23" s="389"/>
      <c r="F23" s="389"/>
      <c r="G23" s="386">
        <f t="shared" ref="G23:G31" si="8">H23+I23+J23</f>
        <v>135</v>
      </c>
      <c r="H23" s="389">
        <v>135</v>
      </c>
      <c r="I23" s="389"/>
      <c r="J23" s="389"/>
      <c r="K23" s="386">
        <f t="shared" ref="K23:K31" si="9">L23+M23+N23</f>
        <v>0</v>
      </c>
      <c r="L23" s="389"/>
      <c r="M23" s="389"/>
      <c r="N23" s="389"/>
      <c r="O23" s="386">
        <f t="shared" ref="O23:O31" si="10">P23+Q23+R23</f>
        <v>0</v>
      </c>
      <c r="P23" s="389"/>
      <c r="Q23" s="389"/>
      <c r="R23" s="395"/>
      <c r="S23" s="386">
        <f t="shared" si="1"/>
        <v>135</v>
      </c>
      <c r="T23" s="150"/>
      <c r="U23" s="153">
        <v>100</v>
      </c>
      <c r="V23" s="154"/>
    </row>
    <row r="24" spans="1:22" ht="18.75" x14ac:dyDescent="0.3">
      <c r="A24" s="155" t="s">
        <v>242</v>
      </c>
      <c r="B24" s="386">
        <f t="shared" si="0"/>
        <v>5025</v>
      </c>
      <c r="C24" s="386">
        <f t="shared" si="7"/>
        <v>1100</v>
      </c>
      <c r="D24" s="390">
        <v>200</v>
      </c>
      <c r="E24" s="390">
        <v>500</v>
      </c>
      <c r="F24" s="390">
        <v>400</v>
      </c>
      <c r="G24" s="386">
        <f t="shared" si="8"/>
        <v>1300</v>
      </c>
      <c r="H24" s="390">
        <v>400</v>
      </c>
      <c r="I24" s="390">
        <v>500</v>
      </c>
      <c r="J24" s="390">
        <v>400</v>
      </c>
      <c r="K24" s="386">
        <f t="shared" si="9"/>
        <v>1300</v>
      </c>
      <c r="L24" s="390">
        <v>500</v>
      </c>
      <c r="M24" s="390">
        <v>400</v>
      </c>
      <c r="N24" s="390">
        <v>400</v>
      </c>
      <c r="O24" s="386">
        <f t="shared" si="10"/>
        <v>1325</v>
      </c>
      <c r="P24" s="390">
        <v>400</v>
      </c>
      <c r="Q24" s="390">
        <v>400</v>
      </c>
      <c r="R24" s="390">
        <v>525</v>
      </c>
      <c r="S24" s="386">
        <f t="shared" si="1"/>
        <v>5025</v>
      </c>
      <c r="T24" s="150"/>
      <c r="U24" s="156">
        <v>2080.5</v>
      </c>
      <c r="V24" s="154"/>
    </row>
    <row r="25" spans="1:22" ht="18.75" x14ac:dyDescent="0.3">
      <c r="A25" s="155" t="s">
        <v>243</v>
      </c>
      <c r="B25" s="386">
        <f t="shared" si="0"/>
        <v>1623</v>
      </c>
      <c r="C25" s="386">
        <f t="shared" si="7"/>
        <v>350</v>
      </c>
      <c r="D25" s="390">
        <v>100</v>
      </c>
      <c r="E25" s="390">
        <v>130</v>
      </c>
      <c r="F25" s="390">
        <v>120</v>
      </c>
      <c r="G25" s="386">
        <f t="shared" si="8"/>
        <v>370</v>
      </c>
      <c r="H25" s="390">
        <v>130</v>
      </c>
      <c r="I25" s="390">
        <v>120</v>
      </c>
      <c r="J25" s="390">
        <v>120</v>
      </c>
      <c r="K25" s="386">
        <f t="shared" si="9"/>
        <v>390</v>
      </c>
      <c r="L25" s="390">
        <v>130</v>
      </c>
      <c r="M25" s="390">
        <v>130</v>
      </c>
      <c r="N25" s="390">
        <v>130</v>
      </c>
      <c r="O25" s="386">
        <f t="shared" si="10"/>
        <v>513</v>
      </c>
      <c r="P25" s="390">
        <v>130</v>
      </c>
      <c r="Q25" s="390">
        <v>130</v>
      </c>
      <c r="R25" s="390">
        <v>253</v>
      </c>
      <c r="S25" s="386">
        <f t="shared" si="1"/>
        <v>1623</v>
      </c>
      <c r="T25" s="150"/>
      <c r="U25" s="156">
        <v>929.1</v>
      </c>
      <c r="V25" s="154"/>
    </row>
    <row r="26" spans="1:22" ht="32.25" x14ac:dyDescent="0.3">
      <c r="A26" s="556" t="s">
        <v>364</v>
      </c>
      <c r="B26" s="386">
        <f t="shared" si="0"/>
        <v>7</v>
      </c>
      <c r="C26" s="386">
        <f t="shared" si="7"/>
        <v>0</v>
      </c>
      <c r="D26" s="389"/>
      <c r="E26" s="389"/>
      <c r="F26" s="389"/>
      <c r="G26" s="386">
        <f t="shared" si="8"/>
        <v>6</v>
      </c>
      <c r="H26" s="389">
        <v>2</v>
      </c>
      <c r="I26" s="389">
        <v>4</v>
      </c>
      <c r="J26" s="389"/>
      <c r="K26" s="386">
        <f t="shared" si="9"/>
        <v>1</v>
      </c>
      <c r="L26" s="389">
        <v>1</v>
      </c>
      <c r="M26" s="389"/>
      <c r="N26" s="389"/>
      <c r="O26" s="386">
        <f t="shared" si="10"/>
        <v>0</v>
      </c>
      <c r="P26" s="389"/>
      <c r="Q26" s="389"/>
      <c r="R26" s="395"/>
      <c r="S26" s="386">
        <f t="shared" si="1"/>
        <v>7</v>
      </c>
      <c r="T26" s="150"/>
    </row>
    <row r="27" spans="1:22" ht="18.75" x14ac:dyDescent="0.3">
      <c r="A27" s="149" t="s">
        <v>244</v>
      </c>
      <c r="B27" s="386">
        <f t="shared" si="0"/>
        <v>250</v>
      </c>
      <c r="C27" s="386">
        <f t="shared" si="7"/>
        <v>0</v>
      </c>
      <c r="D27" s="390"/>
      <c r="E27" s="390"/>
      <c r="F27" s="390"/>
      <c r="G27" s="386">
        <f t="shared" si="8"/>
        <v>0</v>
      </c>
      <c r="H27" s="390"/>
      <c r="I27" s="390"/>
      <c r="J27" s="390"/>
      <c r="K27" s="386">
        <f t="shared" si="9"/>
        <v>0</v>
      </c>
      <c r="L27" s="390"/>
      <c r="M27" s="390"/>
      <c r="N27" s="390"/>
      <c r="O27" s="386">
        <f t="shared" si="10"/>
        <v>250</v>
      </c>
      <c r="P27" s="390"/>
      <c r="Q27" s="390"/>
      <c r="R27" s="391">
        <v>250</v>
      </c>
      <c r="S27" s="386">
        <f t="shared" si="1"/>
        <v>250</v>
      </c>
      <c r="T27" s="150"/>
      <c r="U27" s="153">
        <v>450</v>
      </c>
      <c r="V27" s="154"/>
    </row>
    <row r="28" spans="1:22" ht="18.75" x14ac:dyDescent="0.3">
      <c r="A28" s="155" t="s">
        <v>245</v>
      </c>
      <c r="B28" s="386">
        <f t="shared" si="0"/>
        <v>4500</v>
      </c>
      <c r="C28" s="386">
        <f t="shared" si="7"/>
        <v>500</v>
      </c>
      <c r="D28" s="390"/>
      <c r="E28" s="390">
        <v>250</v>
      </c>
      <c r="F28" s="390">
        <v>250</v>
      </c>
      <c r="G28" s="386">
        <f t="shared" si="8"/>
        <v>1500</v>
      </c>
      <c r="H28" s="390">
        <v>500</v>
      </c>
      <c r="I28" s="390">
        <v>500</v>
      </c>
      <c r="J28" s="390">
        <v>500</v>
      </c>
      <c r="K28" s="386">
        <f t="shared" si="9"/>
        <v>1500</v>
      </c>
      <c r="L28" s="390">
        <v>500</v>
      </c>
      <c r="M28" s="390">
        <v>500</v>
      </c>
      <c r="N28" s="390">
        <v>500</v>
      </c>
      <c r="O28" s="386">
        <f t="shared" si="10"/>
        <v>1000</v>
      </c>
      <c r="P28" s="390">
        <v>300</v>
      </c>
      <c r="Q28" s="390">
        <v>400</v>
      </c>
      <c r="R28" s="390">
        <v>300</v>
      </c>
      <c r="S28" s="386">
        <f t="shared" si="1"/>
        <v>4500</v>
      </c>
      <c r="T28" s="150"/>
      <c r="U28" s="153">
        <v>1300</v>
      </c>
      <c r="V28" s="154"/>
    </row>
    <row r="29" spans="1:22" ht="18.75" hidden="1" x14ac:dyDescent="0.3">
      <c r="A29" s="149"/>
      <c r="B29" s="386">
        <f t="shared" si="0"/>
        <v>0</v>
      </c>
      <c r="C29" s="386">
        <f t="shared" si="7"/>
        <v>0</v>
      </c>
      <c r="D29" s="390"/>
      <c r="E29" s="390"/>
      <c r="F29" s="390"/>
      <c r="G29" s="386">
        <f t="shared" si="8"/>
        <v>0</v>
      </c>
      <c r="H29" s="390"/>
      <c r="I29" s="390"/>
      <c r="J29" s="390"/>
      <c r="K29" s="386">
        <f t="shared" si="9"/>
        <v>0</v>
      </c>
      <c r="L29" s="390"/>
      <c r="M29" s="390"/>
      <c r="N29" s="390"/>
      <c r="O29" s="386">
        <f t="shared" si="10"/>
        <v>0</v>
      </c>
      <c r="P29" s="390"/>
      <c r="Q29" s="390"/>
      <c r="R29" s="391"/>
      <c r="S29" s="386">
        <f t="shared" si="1"/>
        <v>0</v>
      </c>
      <c r="T29" s="150"/>
      <c r="U29" s="156">
        <v>982.2</v>
      </c>
      <c r="V29" s="154"/>
    </row>
    <row r="30" spans="1:22" ht="18.75" x14ac:dyDescent="0.3">
      <c r="A30" s="149" t="s">
        <v>109</v>
      </c>
      <c r="B30" s="386">
        <f t="shared" si="0"/>
        <v>951.3</v>
      </c>
      <c r="C30" s="386">
        <f t="shared" si="7"/>
        <v>121.3</v>
      </c>
      <c r="D30" s="390"/>
      <c r="E30" s="390">
        <v>70</v>
      </c>
      <c r="F30" s="390">
        <v>51.3</v>
      </c>
      <c r="G30" s="386">
        <f t="shared" si="8"/>
        <v>280</v>
      </c>
      <c r="H30" s="390">
        <v>50</v>
      </c>
      <c r="I30" s="390">
        <v>130</v>
      </c>
      <c r="J30" s="390">
        <v>100</v>
      </c>
      <c r="K30" s="386">
        <f t="shared" si="9"/>
        <v>300</v>
      </c>
      <c r="L30" s="390">
        <v>100</v>
      </c>
      <c r="M30" s="390">
        <v>100</v>
      </c>
      <c r="N30" s="390">
        <v>100</v>
      </c>
      <c r="O30" s="386">
        <f t="shared" si="10"/>
        <v>250</v>
      </c>
      <c r="P30" s="390">
        <v>100</v>
      </c>
      <c r="Q30" s="390">
        <v>100</v>
      </c>
      <c r="R30" s="391">
        <v>50</v>
      </c>
      <c r="S30" s="386">
        <f t="shared" si="1"/>
        <v>951.3</v>
      </c>
      <c r="T30" s="150"/>
      <c r="U30" s="156">
        <v>1372.9</v>
      </c>
      <c r="V30" s="154"/>
    </row>
    <row r="31" spans="1:22" ht="18.75" x14ac:dyDescent="0.3">
      <c r="A31" s="157" t="s">
        <v>247</v>
      </c>
      <c r="B31" s="386">
        <f t="shared" si="0"/>
        <v>585.29999999999995</v>
      </c>
      <c r="C31" s="386">
        <f t="shared" si="7"/>
        <v>60</v>
      </c>
      <c r="D31" s="390"/>
      <c r="E31" s="390">
        <v>60</v>
      </c>
      <c r="F31" s="390"/>
      <c r="G31" s="386">
        <f t="shared" si="8"/>
        <v>162</v>
      </c>
      <c r="H31" s="390">
        <v>90</v>
      </c>
      <c r="I31" s="390">
        <v>60</v>
      </c>
      <c r="J31" s="390">
        <v>12</v>
      </c>
      <c r="K31" s="386">
        <f t="shared" si="9"/>
        <v>125</v>
      </c>
      <c r="L31" s="390">
        <v>80</v>
      </c>
      <c r="M31" s="390">
        <v>20</v>
      </c>
      <c r="N31" s="390">
        <v>25</v>
      </c>
      <c r="O31" s="386">
        <f t="shared" si="10"/>
        <v>238.3</v>
      </c>
      <c r="P31" s="390">
        <v>70</v>
      </c>
      <c r="Q31" s="390">
        <v>95.3</v>
      </c>
      <c r="R31" s="391">
        <v>73</v>
      </c>
      <c r="S31" s="386">
        <f t="shared" si="1"/>
        <v>585.29999999999995</v>
      </c>
      <c r="T31" s="150"/>
    </row>
    <row r="32" spans="1:22" s="103" customFormat="1" ht="23.25" customHeight="1" x14ac:dyDescent="0.3">
      <c r="A32" s="397" t="s">
        <v>146</v>
      </c>
      <c r="B32" s="386">
        <f t="shared" si="0"/>
        <v>13076.599999999999</v>
      </c>
      <c r="C32" s="386">
        <f>SUM(C23:C31)</f>
        <v>2131.3000000000002</v>
      </c>
      <c r="D32" s="386">
        <f t="shared" ref="D32:S32" si="11">SUM(D23:D31)</f>
        <v>300</v>
      </c>
      <c r="E32" s="386">
        <f t="shared" si="11"/>
        <v>1010</v>
      </c>
      <c r="F32" s="386">
        <f t="shared" si="11"/>
        <v>821.3</v>
      </c>
      <c r="G32" s="386">
        <f t="shared" si="11"/>
        <v>3753</v>
      </c>
      <c r="H32" s="386">
        <f t="shared" si="11"/>
        <v>1307</v>
      </c>
      <c r="I32" s="386">
        <f t="shared" si="11"/>
        <v>1314</v>
      </c>
      <c r="J32" s="386">
        <f t="shared" si="11"/>
        <v>1132</v>
      </c>
      <c r="K32" s="386">
        <f t="shared" si="11"/>
        <v>3616</v>
      </c>
      <c r="L32" s="386">
        <f t="shared" si="11"/>
        <v>1311</v>
      </c>
      <c r="M32" s="386">
        <f t="shared" si="11"/>
        <v>1150</v>
      </c>
      <c r="N32" s="386">
        <f t="shared" si="11"/>
        <v>1155</v>
      </c>
      <c r="O32" s="386">
        <f t="shared" si="11"/>
        <v>3576.3</v>
      </c>
      <c r="P32" s="386">
        <f t="shared" si="11"/>
        <v>1000</v>
      </c>
      <c r="Q32" s="386">
        <f t="shared" si="11"/>
        <v>1125.3</v>
      </c>
      <c r="R32" s="386">
        <f t="shared" si="11"/>
        <v>1451</v>
      </c>
      <c r="S32" s="386">
        <f t="shared" si="11"/>
        <v>13076.599999999999</v>
      </c>
      <c r="T32" s="387">
        <f t="shared" ref="T32:U32" si="12">T31+T30+T29+T28+T27+T26+T25+T24+T23</f>
        <v>0</v>
      </c>
      <c r="U32" s="387">
        <f t="shared" si="12"/>
        <v>7214.7000000000007</v>
      </c>
      <c r="V32" s="398"/>
    </row>
    <row r="33" spans="1:22" s="93" customFormat="1" ht="24" customHeight="1" x14ac:dyDescent="0.3">
      <c r="A33" s="399" t="s">
        <v>248</v>
      </c>
      <c r="B33" s="386">
        <f t="shared" si="0"/>
        <v>390794.80000000005</v>
      </c>
      <c r="C33" s="386">
        <f>C32+C22</f>
        <v>58194.400000000001</v>
      </c>
      <c r="D33" s="387">
        <f t="shared" ref="D33:R33" si="13">D32+D22</f>
        <v>9479.2000000000007</v>
      </c>
      <c r="E33" s="387">
        <f t="shared" si="13"/>
        <v>23341.3</v>
      </c>
      <c r="F33" s="387">
        <f t="shared" si="13"/>
        <v>25373.899999999998</v>
      </c>
      <c r="G33" s="386">
        <f t="shared" si="13"/>
        <v>88094.700000000012</v>
      </c>
      <c r="H33" s="387">
        <f t="shared" si="13"/>
        <v>34513.699999999997</v>
      </c>
      <c r="I33" s="387">
        <f t="shared" si="13"/>
        <v>22526.799999999999</v>
      </c>
      <c r="J33" s="387">
        <f t="shared" si="13"/>
        <v>31054.2</v>
      </c>
      <c r="K33" s="386">
        <f t="shared" si="13"/>
        <v>92065.099999999991</v>
      </c>
      <c r="L33" s="387">
        <f t="shared" si="13"/>
        <v>36200.5</v>
      </c>
      <c r="M33" s="387">
        <f t="shared" si="13"/>
        <v>26646.7</v>
      </c>
      <c r="N33" s="387">
        <f t="shared" si="13"/>
        <v>29217.9</v>
      </c>
      <c r="O33" s="386">
        <f t="shared" si="13"/>
        <v>152440.6</v>
      </c>
      <c r="P33" s="387">
        <f t="shared" si="13"/>
        <v>35595.1</v>
      </c>
      <c r="Q33" s="387">
        <f t="shared" si="13"/>
        <v>32409.3</v>
      </c>
      <c r="R33" s="387">
        <f t="shared" si="13"/>
        <v>84436.2</v>
      </c>
      <c r="S33" s="386">
        <f t="shared" si="1"/>
        <v>390794.80000000005</v>
      </c>
      <c r="T33" s="144"/>
      <c r="U33" s="159" t="e">
        <f>U22+U32</f>
        <v>#REF!</v>
      </c>
      <c r="V33" s="158"/>
    </row>
    <row r="35" spans="1:22" ht="12.75" customHeight="1" x14ac:dyDescent="0.25">
      <c r="A35" s="157" t="s">
        <v>699</v>
      </c>
      <c r="B35" s="32"/>
      <c r="C35" s="32"/>
      <c r="D35" s="32"/>
      <c r="E35" s="32">
        <v>34.5</v>
      </c>
      <c r="F35" s="32"/>
      <c r="G35" s="32"/>
      <c r="H35" s="32"/>
      <c r="I35" s="32">
        <v>34.5</v>
      </c>
      <c r="J35" s="32"/>
      <c r="K35" s="32"/>
      <c r="L35" s="32">
        <v>34.5</v>
      </c>
      <c r="M35" s="32"/>
      <c r="N35" s="32"/>
      <c r="O35" s="32"/>
      <c r="P35" s="32">
        <v>34.5</v>
      </c>
      <c r="Q35" s="32"/>
      <c r="R35" s="32"/>
      <c r="S35" s="32">
        <f>SUM(E35:R35)</f>
        <v>138</v>
      </c>
    </row>
    <row r="36" spans="1:22" ht="12.75" customHeight="1" x14ac:dyDescent="0.25">
      <c r="A36" s="157" t="s">
        <v>701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1:22" ht="12.75" customHeight="1" x14ac:dyDescent="0.25">
      <c r="A37" s="157" t="s">
        <v>700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</sheetData>
  <pageMargins left="0.74803149606299213" right="0.11811023622047245" top="0.31496062992125984" bottom="0.11811023622047245" header="0.51181102362204722" footer="0.51181102362204722"/>
  <pageSetup paperSize="9" scale="59" fitToHeight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S126"/>
  <sheetViews>
    <sheetView showGridLines="0" topLeftCell="B1" zoomScale="80" zoomScaleNormal="80" workbookViewId="0">
      <pane ySplit="3" topLeftCell="A9" activePane="bottomLeft" state="frozen"/>
      <selection activeCell="B1" sqref="B1"/>
      <selection pane="bottomLeft" activeCell="Z21" sqref="Z21"/>
    </sheetView>
  </sheetViews>
  <sheetFormatPr defaultRowHeight="12.75" customHeight="1" outlineLevelRow="7" x14ac:dyDescent="0.25"/>
  <cols>
    <col min="1" max="1" width="17.85546875" style="6" hidden="1" customWidth="1"/>
    <col min="2" max="2" width="39" customWidth="1"/>
    <col min="3" max="3" width="5.140625" hidden="1" customWidth="1"/>
    <col min="4" max="4" width="13.5703125" style="93" hidden="1" customWidth="1"/>
    <col min="5" max="5" width="14.42578125" hidden="1" customWidth="1"/>
    <col min="6" max="7" width="14.42578125" style="93" hidden="1" customWidth="1"/>
    <col min="8" max="8" width="11.5703125" style="93" hidden="1" customWidth="1"/>
    <col min="9" max="9" width="14.42578125" style="93" hidden="1" customWidth="1"/>
    <col min="10" max="10" width="13.7109375" style="93" hidden="1" customWidth="1"/>
    <col min="11" max="12" width="14.42578125" style="93" hidden="1" customWidth="1"/>
    <col min="13" max="13" width="12.140625" style="93" hidden="1" customWidth="1"/>
    <col min="14" max="14" width="12" style="93" hidden="1" customWidth="1"/>
    <col min="15" max="15" width="14.42578125" style="93" hidden="1" customWidth="1"/>
    <col min="16" max="16" width="13.7109375" style="93" hidden="1" customWidth="1"/>
    <col min="17" max="17" width="14.42578125" style="93" hidden="1" customWidth="1"/>
    <col min="18" max="18" width="13" style="93" hidden="1" customWidth="1"/>
    <col min="19" max="19" width="13.140625" style="564" customWidth="1"/>
    <col min="20" max="20" width="13" style="561" hidden="1" customWidth="1"/>
    <col min="21" max="21" width="14.42578125" style="561" customWidth="1"/>
    <col min="22" max="22" width="13.5703125" style="561" hidden="1" customWidth="1"/>
    <col min="23" max="23" width="13.5703125" style="561" customWidth="1"/>
    <col min="24" max="25" width="13.5703125" style="561" hidden="1" customWidth="1"/>
    <col min="26" max="26" width="13.5703125" style="561" customWidth="1"/>
    <col min="27" max="36" width="13.5703125" style="561" hidden="1" customWidth="1"/>
    <col min="37" max="37" width="13" style="561" hidden="1" customWidth="1"/>
    <col min="38" max="38" width="13" style="561" customWidth="1"/>
    <col min="39" max="47" width="13" style="561" hidden="1" customWidth="1"/>
    <col min="48" max="48" width="15.140625" style="561" customWidth="1"/>
    <col min="49" max="49" width="13.85546875" style="93" customWidth="1"/>
    <col min="50" max="50" width="13.85546875" style="93" hidden="1" customWidth="1"/>
    <col min="51" max="51" width="13.85546875" style="93" customWidth="1"/>
    <col min="52" max="52" width="15.85546875" hidden="1" customWidth="1"/>
    <col min="53" max="53" width="13" hidden="1" customWidth="1"/>
    <col min="54" max="54" width="12.7109375" hidden="1" customWidth="1"/>
    <col min="55" max="55" width="13.7109375" hidden="1" customWidth="1"/>
    <col min="56" max="56" width="13.85546875" hidden="1" customWidth="1"/>
    <col min="57" max="57" width="13.28515625" hidden="1" customWidth="1"/>
    <col min="58" max="58" width="19" hidden="1" customWidth="1"/>
    <col min="59" max="59" width="13.5703125" hidden="1" customWidth="1"/>
    <col min="60" max="60" width="13" hidden="1" customWidth="1"/>
    <col min="61" max="67" width="0" hidden="1" customWidth="1"/>
    <col min="69" max="69" width="12.85546875" customWidth="1"/>
    <col min="70" max="70" width="15.42578125" customWidth="1"/>
  </cols>
  <sheetData>
    <row r="1" spans="1:60" ht="15" customHeight="1" x14ac:dyDescent="0.2">
      <c r="A1" s="3"/>
      <c r="B1" s="632" t="s">
        <v>710</v>
      </c>
      <c r="C1" s="633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634"/>
      <c r="W1" s="634"/>
      <c r="X1" s="634"/>
      <c r="Y1" s="634"/>
      <c r="Z1" s="634"/>
      <c r="AA1" s="634"/>
      <c r="AB1" s="634"/>
      <c r="AC1" s="634"/>
      <c r="AD1" s="634"/>
      <c r="AE1" s="634"/>
      <c r="AF1" s="634"/>
      <c r="AG1" s="634"/>
      <c r="AH1" s="634"/>
      <c r="AI1" s="634"/>
      <c r="AJ1" s="634"/>
      <c r="AK1" s="634"/>
      <c r="AL1" s="634"/>
      <c r="AM1" s="634"/>
      <c r="AN1" s="634"/>
      <c r="AO1" s="634"/>
      <c r="AP1" s="634"/>
      <c r="AQ1" s="634"/>
      <c r="AR1" s="634"/>
      <c r="AS1" s="634"/>
      <c r="AT1" s="634"/>
      <c r="AU1" s="634"/>
      <c r="AV1" s="634"/>
      <c r="AW1" s="634"/>
      <c r="AX1" s="634"/>
      <c r="AY1" s="634"/>
      <c r="AZ1" s="634"/>
      <c r="BA1" s="634"/>
      <c r="BB1" s="634"/>
      <c r="BC1" s="634"/>
      <c r="BD1" s="634"/>
      <c r="BE1" s="634"/>
    </row>
    <row r="2" spans="1:60" ht="15" customHeight="1" x14ac:dyDescent="0.25">
      <c r="A2" s="3"/>
      <c r="C2" s="1"/>
      <c r="AW2" s="244" t="s">
        <v>367</v>
      </c>
      <c r="AX2" s="244"/>
      <c r="AY2" s="244"/>
      <c r="BA2" s="244"/>
    </row>
    <row r="3" spans="1:60" ht="59.25" customHeight="1" x14ac:dyDescent="0.25">
      <c r="A3" s="4" t="s">
        <v>0</v>
      </c>
      <c r="B3" s="63" t="s">
        <v>1</v>
      </c>
      <c r="C3" s="63"/>
      <c r="D3" s="307" t="s">
        <v>655</v>
      </c>
      <c r="E3" s="327" t="s">
        <v>661</v>
      </c>
      <c r="F3" s="303" t="s">
        <v>359</v>
      </c>
      <c r="G3" s="303" t="s">
        <v>361</v>
      </c>
      <c r="H3" s="303" t="s">
        <v>368</v>
      </c>
      <c r="I3" s="303" t="s">
        <v>380</v>
      </c>
      <c r="J3" s="303" t="s">
        <v>574</v>
      </c>
      <c r="K3" s="303" t="s">
        <v>357</v>
      </c>
      <c r="L3" s="303" t="s">
        <v>358</v>
      </c>
      <c r="M3" s="303" t="s">
        <v>409</v>
      </c>
      <c r="N3" s="303" t="s">
        <v>410</v>
      </c>
      <c r="O3" s="303" t="s">
        <v>420</v>
      </c>
      <c r="P3" s="303" t="s">
        <v>427</v>
      </c>
      <c r="Q3" s="303" t="s">
        <v>549</v>
      </c>
      <c r="R3" s="589" t="s">
        <v>573</v>
      </c>
      <c r="S3" s="565" t="s">
        <v>708</v>
      </c>
      <c r="T3" s="572" t="s">
        <v>667</v>
      </c>
      <c r="U3" s="573" t="s">
        <v>668</v>
      </c>
      <c r="V3" s="562" t="s">
        <v>563</v>
      </c>
      <c r="W3" s="562" t="s">
        <v>672</v>
      </c>
      <c r="X3" s="562" t="s">
        <v>443</v>
      </c>
      <c r="Y3" s="563" t="s">
        <v>453</v>
      </c>
      <c r="Z3" s="562" t="s">
        <v>455</v>
      </c>
      <c r="AA3" s="562" t="s">
        <v>460</v>
      </c>
      <c r="AB3" s="562" t="s">
        <v>467</v>
      </c>
      <c r="AC3" s="563" t="s">
        <v>468</v>
      </c>
      <c r="AD3" s="562" t="s">
        <v>478</v>
      </c>
      <c r="AE3" s="562" t="s">
        <v>481</v>
      </c>
      <c r="AF3" s="563" t="s">
        <v>482</v>
      </c>
      <c r="AG3" s="562" t="s">
        <v>483</v>
      </c>
      <c r="AH3" s="563" t="s">
        <v>484</v>
      </c>
      <c r="AI3" s="563" t="s">
        <v>485</v>
      </c>
      <c r="AJ3" s="574" t="s">
        <v>359</v>
      </c>
      <c r="AK3" s="574" t="s">
        <v>361</v>
      </c>
      <c r="AL3" s="574" t="s">
        <v>368</v>
      </c>
      <c r="AM3" s="574" t="s">
        <v>380</v>
      </c>
      <c r="AN3" s="574" t="s">
        <v>574</v>
      </c>
      <c r="AO3" s="574" t="s">
        <v>357</v>
      </c>
      <c r="AP3" s="574" t="s">
        <v>358</v>
      </c>
      <c r="AQ3" s="574" t="s">
        <v>409</v>
      </c>
      <c r="AR3" s="574" t="s">
        <v>410</v>
      </c>
      <c r="AS3" s="574" t="s">
        <v>420</v>
      </c>
      <c r="AT3" s="574" t="s">
        <v>427</v>
      </c>
      <c r="AU3" s="574" t="s">
        <v>549</v>
      </c>
      <c r="AV3" s="601" t="s">
        <v>707</v>
      </c>
      <c r="AW3" s="565" t="s">
        <v>709</v>
      </c>
      <c r="AX3" s="565" t="s">
        <v>671</v>
      </c>
      <c r="AY3" s="565" t="s">
        <v>671</v>
      </c>
      <c r="AZ3" s="314" t="s">
        <v>477</v>
      </c>
      <c r="BA3" s="548" t="s">
        <v>576</v>
      </c>
      <c r="BB3" s="328" t="s">
        <v>657</v>
      </c>
      <c r="BC3" s="553" t="s">
        <v>653</v>
      </c>
      <c r="BD3" s="314" t="s">
        <v>577</v>
      </c>
      <c r="BE3" s="314" t="s">
        <v>654</v>
      </c>
      <c r="BF3" s="314"/>
      <c r="BG3" s="303" t="s">
        <v>656</v>
      </c>
      <c r="BH3" s="303" t="s">
        <v>658</v>
      </c>
    </row>
    <row r="4" spans="1:60" s="14" customFormat="1" ht="21" customHeight="1" outlineLevel="1" x14ac:dyDescent="0.25">
      <c r="A4" s="5" t="s">
        <v>7</v>
      </c>
      <c r="B4" s="194" t="s">
        <v>100</v>
      </c>
      <c r="C4" s="137"/>
      <c r="D4" s="335">
        <v>259214.6</v>
      </c>
      <c r="E4" s="335">
        <v>259214.6</v>
      </c>
      <c r="F4" s="335">
        <f>3398.4-613+2430.9+2103-101.6+33.4</f>
        <v>7251.0999999999995</v>
      </c>
      <c r="G4" s="335">
        <v>20116.2</v>
      </c>
      <c r="H4" s="335">
        <f>6368.3-35.5+9110.8+1805.6+2+0.3</f>
        <v>17251.499999999996</v>
      </c>
      <c r="I4" s="335">
        <f>8163.5+184.7+58.5+8612.6+3383.9+1216.5+14.6</f>
        <v>21634.300000000003</v>
      </c>
      <c r="J4" s="335">
        <f>14095.6+3886.2+4.6+0.4+282.8+55.1+4.6+7.7-66.1+12.1+0.5</f>
        <v>18283.499999999996</v>
      </c>
      <c r="K4" s="335">
        <f>4488.7+32+16212.4+5063.7+563.3</f>
        <v>26360.1</v>
      </c>
      <c r="L4" s="335">
        <f>25442+661.7+1.3+276.7+80.7</f>
        <v>26462.400000000001</v>
      </c>
      <c r="M4" s="335">
        <v>22080.7</v>
      </c>
      <c r="N4" s="335">
        <v>22132.400000000001</v>
      </c>
      <c r="O4" s="335">
        <f>2010.5+1+0.2+23.2+12.4+0.1+19965.4-20+280.1</f>
        <v>22272.9</v>
      </c>
      <c r="P4" s="335">
        <f>3414.9+13+14515.9-7.6+492.5+1903+0.3+7.6</f>
        <v>20339.599999999999</v>
      </c>
      <c r="Q4" s="335">
        <f>37.5+0.4+1703.8+72.8+18.3+977+13.9+85.2+927.1+0.1+1.7+7.5+130+9.9+30.3+11+30+0.2+14.7+18.6+1.7+14.8+38.1+9.3+3.1+8.2+9.8+708.3+6283.2+14.3+6614.3+14.1-5.1+2015.7+2.3+9804+10+3065.7+4.6+4660+7.2+50.7+7317.4+0.7+9.4</f>
        <v>44751.799999999988</v>
      </c>
      <c r="R4" s="586">
        <f t="shared" ref="R4:R13" si="0">SUM(F4:Q4)</f>
        <v>268936.5</v>
      </c>
      <c r="S4" s="335">
        <f>F4+G4+H4</f>
        <v>44618.799999999996</v>
      </c>
      <c r="T4" s="335">
        <v>293449.2</v>
      </c>
      <c r="U4" s="335">
        <f>T4</f>
        <v>293449.2</v>
      </c>
      <c r="V4" s="96">
        <f>X4+Y4+Z4+AA4+AB4+AC4+AD4+AE4+AF4+AG4+AH4+AI4</f>
        <v>293449.2</v>
      </c>
      <c r="W4" s="96">
        <f>X4+Y4+Z4</f>
        <v>43845</v>
      </c>
      <c r="X4" s="96">
        <v>7110</v>
      </c>
      <c r="Y4" s="96">
        <v>19535</v>
      </c>
      <c r="Z4" s="96">
        <v>17200</v>
      </c>
      <c r="AA4" s="96">
        <v>20900</v>
      </c>
      <c r="AB4" s="96">
        <v>18090</v>
      </c>
      <c r="AC4" s="96">
        <v>26300</v>
      </c>
      <c r="AD4" s="96">
        <v>26377.4</v>
      </c>
      <c r="AE4" s="96">
        <v>22100</v>
      </c>
      <c r="AF4" s="96">
        <v>22100</v>
      </c>
      <c r="AG4" s="96">
        <v>22100</v>
      </c>
      <c r="AH4" s="96">
        <v>22100</v>
      </c>
      <c r="AI4" s="96">
        <v>69536.800000000003</v>
      </c>
      <c r="AJ4" s="571">
        <f>6503.4+292.7+1.6+0.5</f>
        <v>6798.2</v>
      </c>
      <c r="AK4" s="571">
        <f>12517.5+3868</f>
        <v>16385.5</v>
      </c>
      <c r="AL4" s="571">
        <v>9573.6</v>
      </c>
      <c r="AM4" s="571"/>
      <c r="AN4" s="571"/>
      <c r="AO4" s="571"/>
      <c r="AP4" s="571"/>
      <c r="AQ4" s="571"/>
      <c r="AR4" s="571"/>
      <c r="AS4" s="571"/>
      <c r="AT4" s="571"/>
      <c r="AU4" s="571"/>
      <c r="AV4" s="602">
        <f>AU4+AT4+AS4+AR4+AQ4+AP4+AO4+AN4+AM4+AL4+AK4+AJ4</f>
        <v>32757.3</v>
      </c>
      <c r="AW4" s="335">
        <f>AL4-Z4</f>
        <v>-7626.4</v>
      </c>
      <c r="AX4" s="335">
        <f>AV4-W4</f>
        <v>-11087.7</v>
      </c>
      <c r="AY4" s="335">
        <f>AV4-W4</f>
        <v>-11087.7</v>
      </c>
      <c r="AZ4" s="170"/>
      <c r="BA4" s="102"/>
      <c r="BB4" s="186"/>
      <c r="BC4" s="266"/>
      <c r="BD4" s="186"/>
      <c r="BE4" s="186"/>
      <c r="BF4" s="186"/>
      <c r="BG4" s="549"/>
      <c r="BH4" s="550"/>
    </row>
    <row r="5" spans="1:60" s="14" customFormat="1" ht="22.5" outlineLevel="1" x14ac:dyDescent="0.25">
      <c r="A5" s="5" t="s">
        <v>8</v>
      </c>
      <c r="B5" s="194" t="s">
        <v>101</v>
      </c>
      <c r="C5" s="137"/>
      <c r="D5" s="335">
        <v>22060.400000000001</v>
      </c>
      <c r="E5" s="335">
        <v>22060.400000000001</v>
      </c>
      <c r="F5" s="335">
        <f>5.8+0.7+839+2.4+1020.3-51.7+47.9+3-0.1</f>
        <v>1867.3</v>
      </c>
      <c r="G5" s="335">
        <v>354.3</v>
      </c>
      <c r="H5" s="335">
        <f>31.2+2.7+26.3-40.7+1441.4+777.9+3.2+820.3+16.4</f>
        <v>3078.7000000000003</v>
      </c>
      <c r="I5" s="335">
        <f>13.8+11.2+883.4+4.6+940.2+34.7+0.6+0.6-1.2</f>
        <v>1887.8999999999999</v>
      </c>
      <c r="J5" s="335">
        <f>887.3+4.9+899.5-67.4+0.5+0.7</f>
        <v>1725.4999999999998</v>
      </c>
      <c r="K5" s="335">
        <f>22+14.4</f>
        <v>36.4</v>
      </c>
      <c r="L5" s="335">
        <f>3566.3+55.2-0.1+33.4-6.4</f>
        <v>3648.4</v>
      </c>
      <c r="M5" s="335">
        <v>1892.1</v>
      </c>
      <c r="N5" s="335">
        <v>1808.7</v>
      </c>
      <c r="O5" s="335">
        <f>53+881.4+4.7+850.5+13.4+0.2+0.1+0.2</f>
        <v>1803.5</v>
      </c>
      <c r="P5" s="335">
        <f>32.1+0.4+43.5-68.3+912.1+5.5+960.2+12.4</f>
        <v>1897.9</v>
      </c>
      <c r="Q5" s="335">
        <f>76.8+817.7+4.1+871.5+4.9+2.8+0.7</f>
        <v>1778.5</v>
      </c>
      <c r="R5" s="586">
        <f t="shared" si="0"/>
        <v>21779.200000000001</v>
      </c>
      <c r="S5" s="335">
        <f t="shared" ref="S5:S68" si="1">F5+G5+H5</f>
        <v>5300.3</v>
      </c>
      <c r="T5" s="335">
        <v>24762.9</v>
      </c>
      <c r="U5" s="335">
        <f t="shared" ref="U5:U68" si="2">T5</f>
        <v>24762.9</v>
      </c>
      <c r="V5" s="96">
        <f t="shared" ref="V5:V30" si="3">X5+Y5+Z5+AA5+AB5+AC5+AD5+AE5+AF5+AG5+AH5+AI5</f>
        <v>24762.900000000005</v>
      </c>
      <c r="W5" s="96">
        <f t="shared" ref="W5:W6" si="4">X5+Y5+Z5</f>
        <v>5416.4</v>
      </c>
      <c r="X5" s="96">
        <v>1647</v>
      </c>
      <c r="Y5" s="96">
        <v>364.3</v>
      </c>
      <c r="Z5" s="96">
        <v>3405.1</v>
      </c>
      <c r="AA5" s="96">
        <v>2054</v>
      </c>
      <c r="AB5" s="96">
        <v>1981.2</v>
      </c>
      <c r="AC5" s="96">
        <v>2130.4</v>
      </c>
      <c r="AD5" s="96">
        <v>2023.2</v>
      </c>
      <c r="AE5" s="96">
        <v>2130.6999999999998</v>
      </c>
      <c r="AF5" s="96">
        <v>2173.9</v>
      </c>
      <c r="AG5" s="96">
        <v>2225.4</v>
      </c>
      <c r="AH5" s="96">
        <v>1119.7</v>
      </c>
      <c r="AI5" s="96">
        <v>3508</v>
      </c>
      <c r="AJ5" s="571">
        <f>1884.5+16.1-0.4+5.8-8.6+0.1</f>
        <v>1897.4999999999998</v>
      </c>
      <c r="AK5" s="571">
        <v>36</v>
      </c>
      <c r="AL5" s="571">
        <v>1813.7</v>
      </c>
      <c r="AM5" s="571"/>
      <c r="AN5" s="571"/>
      <c r="AO5" s="571"/>
      <c r="AP5" s="571"/>
      <c r="AQ5" s="571"/>
      <c r="AR5" s="571"/>
      <c r="AS5" s="571"/>
      <c r="AT5" s="571"/>
      <c r="AU5" s="571"/>
      <c r="AV5" s="602">
        <f t="shared" ref="AV5:AV69" si="5">AU5+AT5+AS5+AR5+AQ5+AP5+AO5+AN5+AM5+AL5+AK5+AJ5</f>
        <v>3747.2</v>
      </c>
      <c r="AW5" s="335">
        <f t="shared" ref="AW5:AW30" si="6">AL5-Z5</f>
        <v>-1591.3999999999999</v>
      </c>
      <c r="AX5" s="335">
        <f t="shared" ref="AX5:AX30" si="7">AV5-W5</f>
        <v>-1669.1999999999998</v>
      </c>
      <c r="AY5" s="335">
        <f t="shared" ref="AY5:AY30" si="8">AV5-W5</f>
        <v>-1669.1999999999998</v>
      </c>
      <c r="AZ5" s="170"/>
      <c r="BA5" s="102"/>
      <c r="BB5" s="186"/>
      <c r="BC5" s="266"/>
      <c r="BD5" s="186"/>
      <c r="BE5" s="186"/>
      <c r="BF5" s="186"/>
      <c r="BG5" s="549"/>
      <c r="BH5" s="550"/>
    </row>
    <row r="6" spans="1:60" s="14" customFormat="1" ht="22.5" outlineLevel="2" x14ac:dyDescent="0.25">
      <c r="A6" s="5" t="s">
        <v>9</v>
      </c>
      <c r="B6" s="195" t="s">
        <v>346</v>
      </c>
      <c r="C6" s="137"/>
      <c r="D6" s="335">
        <v>18411.400000000001</v>
      </c>
      <c r="E6" s="335">
        <v>18411.400000000001</v>
      </c>
      <c r="F6" s="335">
        <f>52.2-90-17.6</f>
        <v>-55.4</v>
      </c>
      <c r="G6" s="335">
        <v>-43</v>
      </c>
      <c r="H6" s="335">
        <f>249.6+1036.3+162.8+23.9+21.6</f>
        <v>1494.1999999999998</v>
      </c>
      <c r="I6" s="335">
        <f>5582.5+1617.1+685.3+693+139.3+12+8.2</f>
        <v>8737.4000000000015</v>
      </c>
      <c r="J6" s="335">
        <f>2.7+448.1+2.9+1.4</f>
        <v>455.09999999999997</v>
      </c>
      <c r="K6" s="335">
        <f>360.8+3.6+873.3+72.6+4.4+0.3+113.6</f>
        <v>1428.6</v>
      </c>
      <c r="L6" s="335">
        <f>3447.6+30.5+35.6+3</f>
        <v>3516.7</v>
      </c>
      <c r="M6" s="335">
        <v>543.9</v>
      </c>
      <c r="N6" s="335">
        <v>281</v>
      </c>
      <c r="O6" s="335">
        <f>506.5+149.5+3900.2+75.8</f>
        <v>4632</v>
      </c>
      <c r="P6" s="335">
        <f>2.4+670.5+115.9+1.1+0.4</f>
        <v>790.3</v>
      </c>
      <c r="Q6" s="335">
        <f>12.2+0.9+1.8+3.7-0.4+43.8+3.2+1.2+0.7+7.2+10.7-0.4+6.1+14.2+3.5</f>
        <v>108.4</v>
      </c>
      <c r="R6" s="586">
        <f t="shared" si="0"/>
        <v>21889.200000000001</v>
      </c>
      <c r="S6" s="335">
        <f t="shared" si="1"/>
        <v>1395.7999999999997</v>
      </c>
      <c r="T6" s="335">
        <v>21189.3</v>
      </c>
      <c r="U6" s="335">
        <f t="shared" si="2"/>
        <v>21189.3</v>
      </c>
      <c r="V6" s="96">
        <f t="shared" si="3"/>
        <v>21189.3</v>
      </c>
      <c r="W6" s="96">
        <f t="shared" si="4"/>
        <v>1500</v>
      </c>
      <c r="X6" s="96"/>
      <c r="Y6" s="96"/>
      <c r="Z6" s="96">
        <v>1500</v>
      </c>
      <c r="AA6" s="96">
        <v>8000</v>
      </c>
      <c r="AB6" s="96">
        <v>500</v>
      </c>
      <c r="AC6" s="96">
        <v>1000</v>
      </c>
      <c r="AD6" s="96">
        <v>4000</v>
      </c>
      <c r="AE6" s="96">
        <v>500</v>
      </c>
      <c r="AF6" s="96">
        <v>300</v>
      </c>
      <c r="AG6" s="96">
        <v>5000</v>
      </c>
      <c r="AH6" s="96">
        <v>300</v>
      </c>
      <c r="AI6" s="96">
        <v>89.3</v>
      </c>
      <c r="AJ6" s="571">
        <v>81.099999999999994</v>
      </c>
      <c r="AK6" s="571">
        <v>189.3</v>
      </c>
      <c r="AL6" s="571">
        <v>-78.8</v>
      </c>
      <c r="AM6" s="571"/>
      <c r="AN6" s="571"/>
      <c r="AO6" s="571"/>
      <c r="AP6" s="571"/>
      <c r="AQ6" s="571"/>
      <c r="AR6" s="571"/>
      <c r="AS6" s="571"/>
      <c r="AT6" s="571"/>
      <c r="AU6" s="571"/>
      <c r="AV6" s="602">
        <f t="shared" si="5"/>
        <v>191.60000000000002</v>
      </c>
      <c r="AW6" s="335">
        <f t="shared" si="6"/>
        <v>-1578.8</v>
      </c>
      <c r="AX6" s="335">
        <f t="shared" si="7"/>
        <v>-1308.4000000000001</v>
      </c>
      <c r="AY6" s="335">
        <f t="shared" si="8"/>
        <v>-1308.4000000000001</v>
      </c>
      <c r="AZ6" s="170"/>
      <c r="BA6" s="102"/>
      <c r="BB6" s="186"/>
      <c r="BC6" s="266"/>
      <c r="BD6" s="186"/>
      <c r="BE6" s="186"/>
      <c r="BF6" s="186"/>
      <c r="BG6" s="550"/>
      <c r="BH6" s="550"/>
    </row>
    <row r="7" spans="1:60" s="14" customFormat="1" ht="28.5" customHeight="1" outlineLevel="2" x14ac:dyDescent="0.25">
      <c r="A7" s="5" t="s">
        <v>13</v>
      </c>
      <c r="B7" s="194" t="s">
        <v>224</v>
      </c>
      <c r="C7" s="137"/>
      <c r="D7" s="335">
        <v>5218.5</v>
      </c>
      <c r="E7" s="335">
        <v>5218.5</v>
      </c>
      <c r="F7" s="335">
        <f>17.8+1909.4-56.1</f>
        <v>1871.1000000000001</v>
      </c>
      <c r="G7" s="335">
        <f>0.8-29.3+2.1</f>
        <v>-26.4</v>
      </c>
      <c r="H7" s="335">
        <v>-13.8</v>
      </c>
      <c r="I7" s="335">
        <v>939.4</v>
      </c>
      <c r="J7" s="335">
        <v>-31.1</v>
      </c>
      <c r="K7" s="335">
        <f>67.4+6.9</f>
        <v>74.300000000000011</v>
      </c>
      <c r="L7" s="335">
        <f>-12+0.1+6.8</f>
        <v>-5.1000000000000005</v>
      </c>
      <c r="M7" s="335">
        <v>70.2</v>
      </c>
      <c r="N7" s="335">
        <v>17.7</v>
      </c>
      <c r="O7" s="335">
        <v>53.9</v>
      </c>
      <c r="P7" s="335">
        <f>7.9-9.3</f>
        <v>-1.4000000000000004</v>
      </c>
      <c r="Q7" s="335">
        <f>-9.6-13+1613.1+89.8+42.4+19.5</f>
        <v>1742.2</v>
      </c>
      <c r="R7" s="586">
        <f t="shared" si="0"/>
        <v>4691</v>
      </c>
      <c r="S7" s="335">
        <f t="shared" si="1"/>
        <v>1830.9</v>
      </c>
      <c r="T7" s="335">
        <v>475.1</v>
      </c>
      <c r="U7" s="335">
        <f t="shared" si="2"/>
        <v>475.1</v>
      </c>
      <c r="V7" s="96">
        <f>X7+Y7+Z7+AA7+AB7+AC7+AD7+AE7+AF7+AG7+AH7+AI7</f>
        <v>475.1</v>
      </c>
      <c r="W7" s="96">
        <f>X7+Y7+Z7</f>
        <v>80</v>
      </c>
      <c r="X7" s="96">
        <v>30</v>
      </c>
      <c r="Y7" s="96">
        <v>50</v>
      </c>
      <c r="Z7" s="96"/>
      <c r="AA7" s="96">
        <v>150</v>
      </c>
      <c r="AB7" s="96"/>
      <c r="AC7" s="96"/>
      <c r="AD7" s="96"/>
      <c r="AE7" s="96">
        <v>100</v>
      </c>
      <c r="AF7" s="96">
        <v>20</v>
      </c>
      <c r="AG7" s="96">
        <v>75.099999999999994</v>
      </c>
      <c r="AH7" s="96">
        <v>50</v>
      </c>
      <c r="AI7" s="161"/>
      <c r="AJ7" s="571">
        <f>-298.3+10.7</f>
        <v>-287.60000000000002</v>
      </c>
      <c r="AK7" s="571">
        <v>-1</v>
      </c>
      <c r="AL7" s="571">
        <v>10</v>
      </c>
      <c r="AM7" s="571"/>
      <c r="AN7" s="571"/>
      <c r="AO7" s="571"/>
      <c r="AP7" s="571"/>
      <c r="AQ7" s="571"/>
      <c r="AR7" s="571"/>
      <c r="AS7" s="571"/>
      <c r="AT7" s="571"/>
      <c r="AU7" s="571"/>
      <c r="AV7" s="602">
        <f t="shared" si="5"/>
        <v>-278.60000000000002</v>
      </c>
      <c r="AW7" s="335">
        <f t="shared" si="6"/>
        <v>10</v>
      </c>
      <c r="AX7" s="335">
        <f t="shared" si="7"/>
        <v>-358.6</v>
      </c>
      <c r="AY7" s="335">
        <f>AV7-W7</f>
        <v>-358.6</v>
      </c>
      <c r="AZ7" s="170"/>
      <c r="BA7" s="102"/>
      <c r="BB7" s="186"/>
      <c r="BC7" s="266"/>
      <c r="BD7" s="186"/>
      <c r="BE7" s="186"/>
      <c r="BF7" s="186"/>
      <c r="BG7" s="550"/>
      <c r="BH7" s="550"/>
    </row>
    <row r="8" spans="1:60" s="14" customFormat="1" ht="22.5" outlineLevel="2" x14ac:dyDescent="0.25">
      <c r="A8" s="5" t="s">
        <v>10</v>
      </c>
      <c r="B8" s="194" t="s">
        <v>103</v>
      </c>
      <c r="C8" s="137"/>
      <c r="D8" s="335">
        <v>0</v>
      </c>
      <c r="E8" s="335">
        <v>0</v>
      </c>
      <c r="F8" s="335"/>
      <c r="G8" s="335">
        <v>9.9</v>
      </c>
      <c r="H8" s="335">
        <v>0.1</v>
      </c>
      <c r="I8" s="335">
        <v>3.1</v>
      </c>
      <c r="J8" s="335">
        <v>0.3</v>
      </c>
      <c r="K8" s="335">
        <f>2.2+0.5</f>
        <v>2.7</v>
      </c>
      <c r="L8" s="335">
        <v>3.7</v>
      </c>
      <c r="M8" s="335">
        <v>3.2</v>
      </c>
      <c r="N8" s="335">
        <v>0.4</v>
      </c>
      <c r="O8" s="335">
        <f>1.3+0.6</f>
        <v>1.9</v>
      </c>
      <c r="P8" s="335">
        <v>0.3</v>
      </c>
      <c r="Q8" s="335">
        <f>3.4+2.2</f>
        <v>5.6</v>
      </c>
      <c r="R8" s="586">
        <f>SUM(F8:Q8)</f>
        <v>31.199999999999996</v>
      </c>
      <c r="S8" s="335">
        <f t="shared" si="1"/>
        <v>10</v>
      </c>
      <c r="T8" s="335">
        <v>0</v>
      </c>
      <c r="U8" s="335">
        <f>T8</f>
        <v>0</v>
      </c>
      <c r="V8" s="96">
        <f>X8+Y8+Z8+AA8+AB8+AC8+AD8+AE8+AF8+AG8+AH8+AI8</f>
        <v>0</v>
      </c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5"/>
      <c r="AJ8" s="571"/>
      <c r="AK8" s="571">
        <v>1.7</v>
      </c>
      <c r="AL8" s="566"/>
      <c r="AM8" s="566"/>
      <c r="AN8" s="566"/>
      <c r="AO8" s="566"/>
      <c r="AP8" s="566"/>
      <c r="AQ8" s="566"/>
      <c r="AR8" s="566"/>
      <c r="AS8" s="566"/>
      <c r="AT8" s="566"/>
      <c r="AU8" s="566"/>
      <c r="AV8" s="602">
        <f>AU8+AT8+AS8+AR8+AQ8+AP8+AO8+AN8+AM8+AL8+AK8+AJ8</f>
        <v>1.7</v>
      </c>
      <c r="AW8" s="335">
        <f t="shared" si="6"/>
        <v>0</v>
      </c>
      <c r="AX8" s="335">
        <f t="shared" si="7"/>
        <v>1.7</v>
      </c>
      <c r="AY8" s="335">
        <f>AV8-W8</f>
        <v>1.7</v>
      </c>
      <c r="AZ8" s="170"/>
      <c r="BA8" s="102"/>
      <c r="BB8" s="186"/>
      <c r="BC8" s="266"/>
      <c r="BD8" s="186"/>
      <c r="BE8" s="186"/>
      <c r="BF8" s="186"/>
      <c r="BG8" s="549"/>
      <c r="BH8" s="550"/>
    </row>
    <row r="9" spans="1:60" s="14" customFormat="1" ht="22.5" outlineLevel="2" x14ac:dyDescent="0.25">
      <c r="A9" s="5" t="s">
        <v>11</v>
      </c>
      <c r="B9" s="194" t="s">
        <v>12</v>
      </c>
      <c r="C9" s="137"/>
      <c r="D9" s="335">
        <v>1437</v>
      </c>
      <c r="E9" s="335">
        <v>1437</v>
      </c>
      <c r="F9" s="335"/>
      <c r="G9" s="335"/>
      <c r="H9" s="335">
        <f>57+561.8</f>
        <v>618.79999999999995</v>
      </c>
      <c r="I9" s="335">
        <v>10.199999999999999</v>
      </c>
      <c r="J9" s="335">
        <v>-8.6999999999999993</v>
      </c>
      <c r="K9" s="335">
        <v>0.1</v>
      </c>
      <c r="L9" s="335">
        <v>109.1</v>
      </c>
      <c r="M9" s="335"/>
      <c r="N9" s="335"/>
      <c r="O9" s="335"/>
      <c r="P9" s="335"/>
      <c r="Q9" s="335"/>
      <c r="R9" s="586">
        <f t="shared" si="0"/>
        <v>729.5</v>
      </c>
      <c r="S9" s="335">
        <f t="shared" si="1"/>
        <v>618.79999999999995</v>
      </c>
      <c r="T9" s="335">
        <v>1829</v>
      </c>
      <c r="U9" s="335">
        <f t="shared" si="2"/>
        <v>1829</v>
      </c>
      <c r="V9" s="96">
        <f t="shared" si="3"/>
        <v>1829</v>
      </c>
      <c r="W9" s="96">
        <f t="shared" ref="W9:W13" si="9">X9+Y9+Z9</f>
        <v>1400</v>
      </c>
      <c r="X9" s="96"/>
      <c r="Y9" s="96"/>
      <c r="Z9" s="96">
        <v>1400</v>
      </c>
      <c r="AA9" s="96"/>
      <c r="AB9" s="96"/>
      <c r="AC9" s="96"/>
      <c r="AD9" s="96">
        <v>429</v>
      </c>
      <c r="AE9" s="96"/>
      <c r="AF9" s="96"/>
      <c r="AG9" s="96"/>
      <c r="AH9" s="96"/>
      <c r="AI9" s="96"/>
      <c r="AJ9" s="571"/>
      <c r="AK9" s="571"/>
      <c r="AL9" s="571">
        <v>11.5</v>
      </c>
      <c r="AM9" s="571"/>
      <c r="AN9" s="571"/>
      <c r="AO9" s="571"/>
      <c r="AP9" s="571"/>
      <c r="AQ9" s="571"/>
      <c r="AR9" s="571"/>
      <c r="AS9" s="571"/>
      <c r="AT9" s="571"/>
      <c r="AU9" s="571"/>
      <c r="AV9" s="602">
        <f t="shared" si="5"/>
        <v>11.5</v>
      </c>
      <c r="AW9" s="335">
        <f t="shared" si="6"/>
        <v>-1388.5</v>
      </c>
      <c r="AX9" s="335">
        <f t="shared" si="7"/>
        <v>-1388.5</v>
      </c>
      <c r="AY9" s="335">
        <f t="shared" si="8"/>
        <v>-1388.5</v>
      </c>
      <c r="AZ9" s="170"/>
      <c r="BA9" s="102"/>
      <c r="BB9" s="186"/>
      <c r="BC9" s="266"/>
      <c r="BD9" s="186"/>
      <c r="BE9" s="186"/>
      <c r="BF9" s="186"/>
      <c r="BG9" s="549"/>
      <c r="BH9" s="550"/>
    </row>
    <row r="10" spans="1:60" s="14" customFormat="1" ht="22.5" outlineLevel="2" x14ac:dyDescent="0.25">
      <c r="A10" s="5" t="s">
        <v>14</v>
      </c>
      <c r="B10" s="194" t="s">
        <v>15</v>
      </c>
      <c r="C10" s="137"/>
      <c r="D10" s="335">
        <v>9663.7999999999993</v>
      </c>
      <c r="E10" s="335">
        <v>9663.7999999999993</v>
      </c>
      <c r="F10" s="335">
        <f>0.8+401.2+18.8+3+43+5.8</f>
        <v>472.6</v>
      </c>
      <c r="G10" s="335">
        <v>121.9</v>
      </c>
      <c r="H10" s="335">
        <f>1.1+171.3+138</f>
        <v>310.39999999999998</v>
      </c>
      <c r="I10" s="335">
        <f>5.8+58.9</f>
        <v>64.7</v>
      </c>
      <c r="J10" s="335">
        <f>0.3+30.6+0.2</f>
        <v>31.1</v>
      </c>
      <c r="K10" s="335">
        <f>1.3+12.9+4.8+1.5</f>
        <v>20.5</v>
      </c>
      <c r="L10" s="335">
        <v>19.2</v>
      </c>
      <c r="M10" s="335">
        <v>28.2</v>
      </c>
      <c r="N10" s="335">
        <v>1628.5</v>
      </c>
      <c r="O10" s="335">
        <f>1911-321.2+32+16.2</f>
        <v>1638</v>
      </c>
      <c r="P10" s="335">
        <f>380.3+2048.2+163.7+440.1</f>
        <v>3032.2999999999997</v>
      </c>
      <c r="Q10" s="335">
        <f>21.5+110+98.6+61.4+42.5+97.7+73.7+9.6+35.8+17.3+26.6+54.9+9.5+12.1+25.3+137.7+19.3+17.1+4.7+79.1-12.6+0.6-12.2</f>
        <v>930.19999999999982</v>
      </c>
      <c r="R10" s="586">
        <f t="shared" si="0"/>
        <v>8297.5999999999985</v>
      </c>
      <c r="S10" s="335">
        <f t="shared" si="1"/>
        <v>904.9</v>
      </c>
      <c r="T10" s="335">
        <v>8528</v>
      </c>
      <c r="U10" s="335">
        <f t="shared" si="2"/>
        <v>8528</v>
      </c>
      <c r="V10" s="96">
        <f t="shared" si="3"/>
        <v>8528</v>
      </c>
      <c r="W10" s="96">
        <f t="shared" si="9"/>
        <v>700</v>
      </c>
      <c r="X10" s="96">
        <v>100</v>
      </c>
      <c r="Y10" s="96">
        <v>400</v>
      </c>
      <c r="Z10" s="96">
        <v>200</v>
      </c>
      <c r="AA10" s="96">
        <v>40</v>
      </c>
      <c r="AB10" s="96">
        <v>20</v>
      </c>
      <c r="AC10" s="96">
        <v>20</v>
      </c>
      <c r="AD10" s="96">
        <v>20</v>
      </c>
      <c r="AE10" s="96">
        <v>28</v>
      </c>
      <c r="AF10" s="96">
        <v>1500</v>
      </c>
      <c r="AG10" s="96">
        <v>1600</v>
      </c>
      <c r="AH10" s="96">
        <v>3000</v>
      </c>
      <c r="AI10" s="161">
        <v>1600</v>
      </c>
      <c r="AJ10" s="571">
        <f>1+103.8</f>
        <v>104.8</v>
      </c>
      <c r="AK10" s="571">
        <f>0.9+62.8</f>
        <v>63.699999999999996</v>
      </c>
      <c r="AL10" s="571">
        <v>136.9</v>
      </c>
      <c r="AM10" s="571"/>
      <c r="AN10" s="571"/>
      <c r="AO10" s="571"/>
      <c r="AP10" s="571"/>
      <c r="AQ10" s="571"/>
      <c r="AR10" s="571"/>
      <c r="AS10" s="571"/>
      <c r="AT10" s="571"/>
      <c r="AU10" s="571"/>
      <c r="AV10" s="602">
        <f t="shared" si="5"/>
        <v>305.39999999999998</v>
      </c>
      <c r="AW10" s="335">
        <f t="shared" si="6"/>
        <v>-63.099999999999994</v>
      </c>
      <c r="AX10" s="335">
        <f t="shared" si="7"/>
        <v>-394.6</v>
      </c>
      <c r="AY10" s="335">
        <f t="shared" si="8"/>
        <v>-394.6</v>
      </c>
      <c r="AZ10" s="170"/>
      <c r="BA10" s="102"/>
      <c r="BB10" s="186"/>
      <c r="BC10" s="266"/>
      <c r="BD10" s="186"/>
      <c r="BE10" s="186"/>
      <c r="BF10" s="186"/>
      <c r="BG10" s="550"/>
      <c r="BH10" s="550"/>
    </row>
    <row r="11" spans="1:60" s="14" customFormat="1" ht="22.5" outlineLevel="3" x14ac:dyDescent="0.25">
      <c r="A11" s="5" t="s">
        <v>16</v>
      </c>
      <c r="B11" s="194" t="s">
        <v>17</v>
      </c>
      <c r="C11" s="137"/>
      <c r="D11" s="335">
        <v>4804.8</v>
      </c>
      <c r="E11" s="335">
        <v>4804.8</v>
      </c>
      <c r="F11" s="336">
        <v>5.8</v>
      </c>
      <c r="G11" s="335">
        <v>1615.5</v>
      </c>
      <c r="H11" s="335">
        <v>241.4</v>
      </c>
      <c r="I11" s="335">
        <f>842.4+75.3+485.5+37.7</f>
        <v>1440.8999999999999</v>
      </c>
      <c r="J11" s="335">
        <f>2.7+599.5</f>
        <v>602.20000000000005</v>
      </c>
      <c r="K11" s="335">
        <v>126.3</v>
      </c>
      <c r="L11" s="335">
        <f>38.3+1403.4+2.3</f>
        <v>1444</v>
      </c>
      <c r="M11" s="335">
        <v>147.80000000000001</v>
      </c>
      <c r="N11" s="335">
        <v>0.9</v>
      </c>
      <c r="O11" s="335">
        <f>192.8+1226.6+67.9+3.1</f>
        <v>1490.3999999999999</v>
      </c>
      <c r="P11" s="335">
        <v>32.299999999999997</v>
      </c>
      <c r="Q11" s="335">
        <f>5.9+43+3.1+1.2+4+3.5</f>
        <v>60.7</v>
      </c>
      <c r="R11" s="586">
        <f t="shared" si="0"/>
        <v>7208.2</v>
      </c>
      <c r="S11" s="335">
        <f t="shared" si="1"/>
        <v>1862.7</v>
      </c>
      <c r="T11" s="335">
        <v>8452</v>
      </c>
      <c r="U11" s="335">
        <f t="shared" si="2"/>
        <v>8452</v>
      </c>
      <c r="V11" s="96">
        <f t="shared" si="3"/>
        <v>8452</v>
      </c>
      <c r="W11" s="96">
        <f t="shared" si="9"/>
        <v>1530.9</v>
      </c>
      <c r="X11" s="96"/>
      <c r="Y11" s="96">
        <v>1500</v>
      </c>
      <c r="Z11" s="96">
        <f>120-89.1</f>
        <v>30.900000000000006</v>
      </c>
      <c r="AA11" s="96">
        <f>1500+89.1</f>
        <v>1589.1</v>
      </c>
      <c r="AB11" s="96">
        <v>120</v>
      </c>
      <c r="AC11" s="96"/>
      <c r="AD11" s="96">
        <v>1500</v>
      </c>
      <c r="AE11" s="96">
        <v>120</v>
      </c>
      <c r="AF11" s="96"/>
      <c r="AG11" s="96">
        <v>1500</v>
      </c>
      <c r="AH11" s="96">
        <v>120</v>
      </c>
      <c r="AI11" s="161">
        <v>1972</v>
      </c>
      <c r="AJ11" s="571">
        <v>-31.7</v>
      </c>
      <c r="AK11" s="571">
        <v>8.5</v>
      </c>
      <c r="AL11" s="571">
        <v>1298.0999999999999</v>
      </c>
      <c r="AM11" s="571"/>
      <c r="AN11" s="571"/>
      <c r="AO11" s="571"/>
      <c r="AP11" s="571"/>
      <c r="AQ11" s="571"/>
      <c r="AR11" s="571"/>
      <c r="AS11" s="571"/>
      <c r="AT11" s="571"/>
      <c r="AU11" s="571"/>
      <c r="AV11" s="602">
        <f t="shared" si="5"/>
        <v>1274.8999999999999</v>
      </c>
      <c r="AW11" s="335">
        <f t="shared" si="6"/>
        <v>1267.1999999999998</v>
      </c>
      <c r="AX11" s="335">
        <f t="shared" si="7"/>
        <v>-256.00000000000023</v>
      </c>
      <c r="AY11" s="335">
        <f t="shared" si="8"/>
        <v>-256.00000000000023</v>
      </c>
      <c r="AZ11" s="170"/>
      <c r="BA11" s="102"/>
      <c r="BB11" s="186"/>
      <c r="BC11" s="266"/>
      <c r="BD11" s="186"/>
      <c r="BE11" s="186"/>
      <c r="BF11" s="186"/>
      <c r="BG11" s="550"/>
      <c r="BH11" s="550"/>
    </row>
    <row r="12" spans="1:60" s="14" customFormat="1" ht="22.5" outlineLevel="3" x14ac:dyDescent="0.25">
      <c r="A12" s="5" t="s">
        <v>18</v>
      </c>
      <c r="B12" s="194" t="s">
        <v>19</v>
      </c>
      <c r="C12" s="137"/>
      <c r="D12" s="335">
        <v>13580.6</v>
      </c>
      <c r="E12" s="335">
        <v>13580.6</v>
      </c>
      <c r="F12" s="335">
        <f>11.2+175.5+20.3+5.2+25.4+10.8</f>
        <v>248.4</v>
      </c>
      <c r="G12" s="335">
        <v>269.8</v>
      </c>
      <c r="H12" s="335">
        <f>26.1+131.4+2</f>
        <v>159.5</v>
      </c>
      <c r="I12" s="335">
        <f>5.5+84.3+1.6+0.5+6.2</f>
        <v>98.1</v>
      </c>
      <c r="J12" s="335">
        <f>4.8+51.6+3.1+3.4</f>
        <v>62.9</v>
      </c>
      <c r="K12" s="335">
        <f>3.6+66.6+14.1+12.3</f>
        <v>96.59999999999998</v>
      </c>
      <c r="L12" s="335">
        <f>83.4-2.2</f>
        <v>81.2</v>
      </c>
      <c r="M12" s="335">
        <v>140.69999999999999</v>
      </c>
      <c r="N12" s="335">
        <v>1838.1</v>
      </c>
      <c r="O12" s="335">
        <f>3511.3-28.9+84.2+240.8</f>
        <v>3807.4</v>
      </c>
      <c r="P12" s="335">
        <f>3814.9+474.3+195.7+258.7</f>
        <v>4743.5999999999995</v>
      </c>
      <c r="Q12" s="335">
        <f>51.8+258.3+207.3+96.6+111.4+193.9+58+21.4+103.4+36+103.2+51.3+72.5+30+28.5+50.5+10.7+31.4+18.4+120.7+14.9+13.1+22.2</f>
        <v>1705.5000000000005</v>
      </c>
      <c r="R12" s="586">
        <f t="shared" si="0"/>
        <v>13251.8</v>
      </c>
      <c r="S12" s="335">
        <f t="shared" si="1"/>
        <v>677.7</v>
      </c>
      <c r="T12" s="335">
        <v>13720.4</v>
      </c>
      <c r="U12" s="335">
        <f t="shared" si="2"/>
        <v>13720.4</v>
      </c>
      <c r="V12" s="96">
        <f t="shared" si="3"/>
        <v>13720.4</v>
      </c>
      <c r="W12" s="96">
        <f t="shared" si="9"/>
        <v>439.1</v>
      </c>
      <c r="X12" s="96"/>
      <c r="Y12" s="96">
        <v>100</v>
      </c>
      <c r="Z12" s="96">
        <f>250+89.1</f>
        <v>339.1</v>
      </c>
      <c r="AA12" s="96">
        <f>100-89.1</f>
        <v>10.900000000000006</v>
      </c>
      <c r="AB12" s="96">
        <v>100</v>
      </c>
      <c r="AC12" s="96">
        <v>50</v>
      </c>
      <c r="AD12" s="96">
        <v>100</v>
      </c>
      <c r="AE12" s="96">
        <v>50</v>
      </c>
      <c r="AF12" s="96">
        <v>1500</v>
      </c>
      <c r="AG12" s="96">
        <v>1600</v>
      </c>
      <c r="AH12" s="96">
        <v>4105</v>
      </c>
      <c r="AI12" s="161">
        <v>5765.4</v>
      </c>
      <c r="AJ12" s="571">
        <f>1.4+243.2</f>
        <v>244.6</v>
      </c>
      <c r="AK12" s="571">
        <f>4.4+155.2</f>
        <v>159.6</v>
      </c>
      <c r="AL12" s="571">
        <v>34.9</v>
      </c>
      <c r="AM12" s="571"/>
      <c r="AN12" s="571"/>
      <c r="AO12" s="571"/>
      <c r="AP12" s="571"/>
      <c r="AQ12" s="571"/>
      <c r="AR12" s="571"/>
      <c r="AS12" s="571"/>
      <c r="AT12" s="571"/>
      <c r="AU12" s="571"/>
      <c r="AV12" s="602">
        <f t="shared" si="5"/>
        <v>439.1</v>
      </c>
      <c r="AW12" s="335">
        <f t="shared" si="6"/>
        <v>-304.20000000000005</v>
      </c>
      <c r="AX12" s="335">
        <f t="shared" si="7"/>
        <v>0</v>
      </c>
      <c r="AY12" s="335">
        <f t="shared" si="8"/>
        <v>0</v>
      </c>
      <c r="AZ12" s="170"/>
      <c r="BA12" s="102"/>
      <c r="BB12" s="186"/>
      <c r="BC12" s="266"/>
      <c r="BD12" s="186"/>
      <c r="BE12" s="186"/>
      <c r="BF12" s="186"/>
      <c r="BG12" s="551"/>
      <c r="BH12" s="550"/>
    </row>
    <row r="13" spans="1:60" s="14" customFormat="1" ht="22.5" outlineLevel="1" x14ac:dyDescent="0.25">
      <c r="A13" s="5" t="s">
        <v>20</v>
      </c>
      <c r="B13" s="195" t="s">
        <v>105</v>
      </c>
      <c r="C13" s="137"/>
      <c r="D13" s="335">
        <v>9200</v>
      </c>
      <c r="E13" s="335">
        <v>9200</v>
      </c>
      <c r="F13" s="335">
        <f>5.5+149.1+42.7+0.2+32.7+33+0.4+6</f>
        <v>269.59999999999997</v>
      </c>
      <c r="G13" s="335">
        <v>346.9</v>
      </c>
      <c r="H13" s="335">
        <f>139.5+417.1+12+0.6</f>
        <v>569.20000000000005</v>
      </c>
      <c r="I13" s="335">
        <f>14.1+380.2+25+10.2</f>
        <v>429.5</v>
      </c>
      <c r="J13" s="335">
        <f>29.6+361.3+27.3+12.2+2.6</f>
        <v>433.00000000000006</v>
      </c>
      <c r="K13" s="335">
        <f>47.8+218.7+28.8+0.4+2.9+8.9+0.1</f>
        <v>307.59999999999997</v>
      </c>
      <c r="L13" s="335">
        <f>66+442.1+10.9</f>
        <v>519</v>
      </c>
      <c r="M13" s="335">
        <v>330.2</v>
      </c>
      <c r="N13" s="335">
        <v>515.1</v>
      </c>
      <c r="O13" s="335">
        <f>23+469.5+10+14.3</f>
        <v>516.79999999999995</v>
      </c>
      <c r="P13" s="335">
        <f>7.4+0.1+345.9+22+0.2+7.7</f>
        <v>383.29999999999995</v>
      </c>
      <c r="Q13" s="335">
        <f>12.1+14+2.1+10+6+21.1+8+63.4+0.4+14.1+32.1+0.6+5.5+59.1+15+0.2+5.9+0.1+27.7+25.5+26+26.8+39.9+19.7+60.2-8.1+11.5+0.7</f>
        <v>499.59999999999991</v>
      </c>
      <c r="R13" s="586">
        <f t="shared" si="0"/>
        <v>5119.7999999999993</v>
      </c>
      <c r="S13" s="335">
        <f t="shared" si="1"/>
        <v>1185.7</v>
      </c>
      <c r="T13" s="335">
        <v>5312.3</v>
      </c>
      <c r="U13" s="335">
        <f t="shared" si="2"/>
        <v>5312.3</v>
      </c>
      <c r="V13" s="96">
        <f t="shared" si="3"/>
        <v>5312.3</v>
      </c>
      <c r="W13" s="96">
        <f t="shared" si="9"/>
        <v>1151.7</v>
      </c>
      <c r="X13" s="96">
        <v>292.2</v>
      </c>
      <c r="Y13" s="96">
        <v>382</v>
      </c>
      <c r="Z13" s="96">
        <v>477.5</v>
      </c>
      <c r="AA13" s="96">
        <v>462.7</v>
      </c>
      <c r="AB13" s="96">
        <v>401.6</v>
      </c>
      <c r="AC13" s="96">
        <v>421.8</v>
      </c>
      <c r="AD13" s="96">
        <v>439.9</v>
      </c>
      <c r="AE13" s="96">
        <v>468</v>
      </c>
      <c r="AF13" s="96">
        <v>469</v>
      </c>
      <c r="AG13" s="96">
        <v>494.6</v>
      </c>
      <c r="AH13" s="96">
        <v>489.3</v>
      </c>
      <c r="AI13" s="96">
        <v>513.70000000000005</v>
      </c>
      <c r="AJ13" s="571">
        <f>42.1+291</f>
        <v>333.1</v>
      </c>
      <c r="AK13" s="571">
        <f>6.2+578.5</f>
        <v>584.70000000000005</v>
      </c>
      <c r="AL13" s="571">
        <f>235.5+15.6</f>
        <v>251.1</v>
      </c>
      <c r="AM13" s="571"/>
      <c r="AN13" s="571"/>
      <c r="AO13" s="571"/>
      <c r="AP13" s="571"/>
      <c r="AQ13" s="571"/>
      <c r="AR13" s="571"/>
      <c r="AS13" s="571"/>
      <c r="AT13" s="571"/>
      <c r="AU13" s="571"/>
      <c r="AV13" s="602">
        <f t="shared" si="5"/>
        <v>1168.9000000000001</v>
      </c>
      <c r="AW13" s="335">
        <f t="shared" si="6"/>
        <v>-226.4</v>
      </c>
      <c r="AX13" s="335">
        <f t="shared" si="7"/>
        <v>17.200000000000045</v>
      </c>
      <c r="AY13" s="335">
        <f t="shared" si="8"/>
        <v>17.200000000000045</v>
      </c>
      <c r="AZ13" s="170"/>
      <c r="BA13" s="102"/>
      <c r="BB13" s="186"/>
      <c r="BC13" s="266"/>
      <c r="BD13" s="186"/>
      <c r="BE13" s="186"/>
      <c r="BF13" s="186"/>
      <c r="BG13" s="551"/>
      <c r="BH13" s="550"/>
    </row>
    <row r="14" spans="1:60" ht="12.75" hidden="1" customHeight="1" x14ac:dyDescent="0.25">
      <c r="S14" s="335">
        <f t="shared" si="1"/>
        <v>0</v>
      </c>
      <c r="AW14" s="335">
        <f t="shared" si="6"/>
        <v>0</v>
      </c>
      <c r="AX14" s="335">
        <f t="shared" si="7"/>
        <v>0</v>
      </c>
    </row>
    <row r="15" spans="1:60" s="14" customFormat="1" ht="22.5" customHeight="1" outlineLevel="1" x14ac:dyDescent="0.25">
      <c r="A15" s="5"/>
      <c r="B15" s="568" t="s">
        <v>145</v>
      </c>
      <c r="C15" s="569"/>
      <c r="D15" s="570">
        <f t="shared" ref="D15:AY15" si="10">SUM(D4:D13)</f>
        <v>343591.1</v>
      </c>
      <c r="E15" s="570">
        <f t="shared" si="10"/>
        <v>343591.1</v>
      </c>
      <c r="F15" s="570">
        <f t="shared" si="10"/>
        <v>11930.5</v>
      </c>
      <c r="G15" s="570">
        <f t="shared" si="10"/>
        <v>22765.100000000002</v>
      </c>
      <c r="H15" s="570">
        <f t="shared" si="10"/>
        <v>23710</v>
      </c>
      <c r="I15" s="570">
        <f t="shared" si="10"/>
        <v>35245.5</v>
      </c>
      <c r="J15" s="570">
        <f t="shared" si="10"/>
        <v>21553.799999999996</v>
      </c>
      <c r="K15" s="570">
        <f t="shared" si="10"/>
        <v>28453.199999999993</v>
      </c>
      <c r="L15" s="570">
        <f t="shared" si="10"/>
        <v>35798.599999999991</v>
      </c>
      <c r="M15" s="570">
        <f t="shared" si="10"/>
        <v>25237.000000000004</v>
      </c>
      <c r="N15" s="570">
        <f t="shared" si="10"/>
        <v>28222.800000000003</v>
      </c>
      <c r="O15" s="570">
        <f t="shared" si="10"/>
        <v>36216.80000000001</v>
      </c>
      <c r="P15" s="570">
        <f t="shared" si="10"/>
        <v>31218.199999999993</v>
      </c>
      <c r="Q15" s="570">
        <f t="shared" si="10"/>
        <v>51582.499999999978</v>
      </c>
      <c r="R15" s="570">
        <f t="shared" si="10"/>
        <v>351934</v>
      </c>
      <c r="S15" s="586">
        <f t="shared" si="10"/>
        <v>58405.599999999999</v>
      </c>
      <c r="T15" s="586">
        <f t="shared" si="10"/>
        <v>377718.2</v>
      </c>
      <c r="U15" s="586">
        <f t="shared" si="10"/>
        <v>377718.2</v>
      </c>
      <c r="V15" s="586">
        <f t="shared" si="10"/>
        <v>377718.2</v>
      </c>
      <c r="W15" s="586">
        <f t="shared" si="10"/>
        <v>56063.1</v>
      </c>
      <c r="X15" s="586">
        <f t="shared" si="10"/>
        <v>9179.2000000000007</v>
      </c>
      <c r="Y15" s="586">
        <f t="shared" si="10"/>
        <v>22331.3</v>
      </c>
      <c r="Z15" s="586">
        <f t="shared" si="10"/>
        <v>24552.6</v>
      </c>
      <c r="AA15" s="586">
        <f t="shared" si="10"/>
        <v>33206.699999999997</v>
      </c>
      <c r="AB15" s="586">
        <f t="shared" si="10"/>
        <v>21212.799999999999</v>
      </c>
      <c r="AC15" s="586">
        <f t="shared" si="10"/>
        <v>29922.2</v>
      </c>
      <c r="AD15" s="586">
        <f t="shared" si="10"/>
        <v>34889.500000000007</v>
      </c>
      <c r="AE15" s="586">
        <f t="shared" si="10"/>
        <v>25496.7</v>
      </c>
      <c r="AF15" s="586">
        <f t="shared" si="10"/>
        <v>28062.9</v>
      </c>
      <c r="AG15" s="586">
        <f t="shared" si="10"/>
        <v>34595.1</v>
      </c>
      <c r="AH15" s="586">
        <f t="shared" si="10"/>
        <v>31284</v>
      </c>
      <c r="AI15" s="586">
        <f t="shared" si="10"/>
        <v>82985.2</v>
      </c>
      <c r="AJ15" s="586">
        <f t="shared" si="10"/>
        <v>9139.9999999999982</v>
      </c>
      <c r="AK15" s="586">
        <f t="shared" si="10"/>
        <v>17428</v>
      </c>
      <c r="AL15" s="586">
        <f t="shared" si="10"/>
        <v>13051.000000000002</v>
      </c>
      <c r="AM15" s="586">
        <f t="shared" si="10"/>
        <v>0</v>
      </c>
      <c r="AN15" s="586">
        <f t="shared" si="10"/>
        <v>0</v>
      </c>
      <c r="AO15" s="586">
        <f t="shared" si="10"/>
        <v>0</v>
      </c>
      <c r="AP15" s="586">
        <f t="shared" si="10"/>
        <v>0</v>
      </c>
      <c r="AQ15" s="586">
        <f t="shared" si="10"/>
        <v>0</v>
      </c>
      <c r="AR15" s="586">
        <f t="shared" si="10"/>
        <v>0</v>
      </c>
      <c r="AS15" s="586">
        <f t="shared" si="10"/>
        <v>0</v>
      </c>
      <c r="AT15" s="586">
        <f t="shared" si="10"/>
        <v>0</v>
      </c>
      <c r="AU15" s="586">
        <f t="shared" si="10"/>
        <v>0</v>
      </c>
      <c r="AV15" s="586">
        <f t="shared" si="10"/>
        <v>39619</v>
      </c>
      <c r="AW15" s="586">
        <f t="shared" si="10"/>
        <v>-11501.6</v>
      </c>
      <c r="AX15" s="586">
        <f t="shared" si="10"/>
        <v>-16444.100000000002</v>
      </c>
      <c r="AY15" s="586">
        <f t="shared" si="10"/>
        <v>-16444.100000000002</v>
      </c>
      <c r="AZ15" s="333"/>
      <c r="BA15" s="266"/>
      <c r="BB15" s="266"/>
      <c r="BC15" s="266"/>
      <c r="BD15" s="266"/>
      <c r="BE15" s="266"/>
      <c r="BF15" s="266"/>
      <c r="BG15" s="236"/>
      <c r="BH15" s="236"/>
    </row>
    <row r="16" spans="1:60" s="14" customFormat="1" ht="21" customHeight="1" outlineLevel="2" x14ac:dyDescent="0.25">
      <c r="A16" s="5" t="s">
        <v>21</v>
      </c>
      <c r="B16" s="196" t="s">
        <v>106</v>
      </c>
      <c r="C16" s="137"/>
      <c r="D16" s="335">
        <v>124</v>
      </c>
      <c r="E16" s="335">
        <v>131</v>
      </c>
      <c r="F16" s="350"/>
      <c r="G16" s="350"/>
      <c r="H16" s="351">
        <v>131</v>
      </c>
      <c r="I16" s="351"/>
      <c r="J16" s="351"/>
      <c r="K16" s="351"/>
      <c r="L16" s="350"/>
      <c r="M16" s="351"/>
      <c r="N16" s="350"/>
      <c r="O16" s="350"/>
      <c r="P16" s="351"/>
      <c r="Q16" s="350"/>
      <c r="R16" s="586">
        <f t="shared" ref="R16:R28" si="11">SUM(F16:Q16)</f>
        <v>131</v>
      </c>
      <c r="S16" s="335">
        <f t="shared" si="1"/>
        <v>131</v>
      </c>
      <c r="T16" s="335">
        <v>135</v>
      </c>
      <c r="U16" s="335">
        <f t="shared" si="2"/>
        <v>135</v>
      </c>
      <c r="V16" s="96">
        <f t="shared" si="3"/>
        <v>135</v>
      </c>
      <c r="W16" s="96">
        <f t="shared" ref="W16:W26" si="12">X16+Y16+Z16</f>
        <v>0</v>
      </c>
      <c r="X16" s="96"/>
      <c r="Y16" s="96"/>
      <c r="Z16" s="96"/>
      <c r="AA16" s="96">
        <v>135</v>
      </c>
      <c r="AB16" s="96"/>
      <c r="AC16" s="96"/>
      <c r="AD16" s="96"/>
      <c r="AE16" s="96"/>
      <c r="AF16" s="96">
        <f t="shared" ref="AF16" si="13">AG16+AH16+AI16</f>
        <v>0</v>
      </c>
      <c r="AG16" s="96"/>
      <c r="AH16" s="96"/>
      <c r="AI16" s="161"/>
      <c r="AJ16" s="571"/>
      <c r="AK16" s="571"/>
      <c r="AL16" s="566"/>
      <c r="AM16" s="566"/>
      <c r="AN16" s="566"/>
      <c r="AO16" s="566"/>
      <c r="AP16" s="566"/>
      <c r="AQ16" s="566"/>
      <c r="AR16" s="566"/>
      <c r="AS16" s="566"/>
      <c r="AT16" s="566"/>
      <c r="AU16" s="566"/>
      <c r="AV16" s="602">
        <f t="shared" si="5"/>
        <v>0</v>
      </c>
      <c r="AW16" s="335">
        <f t="shared" si="6"/>
        <v>0</v>
      </c>
      <c r="AX16" s="335">
        <f t="shared" si="7"/>
        <v>0</v>
      </c>
      <c r="AY16" s="335">
        <f t="shared" si="8"/>
        <v>0</v>
      </c>
      <c r="AZ16" s="170"/>
      <c r="BA16" s="102"/>
      <c r="BB16" s="186"/>
      <c r="BC16" s="266"/>
      <c r="BD16" s="186"/>
      <c r="BE16" s="186"/>
      <c r="BF16" s="186"/>
      <c r="BG16" s="551"/>
      <c r="BH16" s="550"/>
    </row>
    <row r="17" spans="1:70" s="14" customFormat="1" ht="24" customHeight="1" outlineLevel="3" x14ac:dyDescent="0.25">
      <c r="A17" s="5" t="s">
        <v>22</v>
      </c>
      <c r="B17" s="195" t="s">
        <v>347</v>
      </c>
      <c r="C17" s="137"/>
      <c r="D17" s="335">
        <v>4283.3</v>
      </c>
      <c r="E17" s="335">
        <v>4317</v>
      </c>
      <c r="F17" s="351">
        <f>7.5+181.4+7.4</f>
        <v>196.3</v>
      </c>
      <c r="G17" s="351">
        <v>405.2</v>
      </c>
      <c r="H17" s="351">
        <f>2.9+512.4</f>
        <v>515.29999999999995</v>
      </c>
      <c r="I17" s="351">
        <f>361.1-2.1+1.8</f>
        <v>360.8</v>
      </c>
      <c r="J17" s="351">
        <v>525.9</v>
      </c>
      <c r="K17" s="351">
        <v>323.39999999999998</v>
      </c>
      <c r="L17" s="351">
        <v>328.1</v>
      </c>
      <c r="M17" s="351">
        <v>293.39999999999998</v>
      </c>
      <c r="N17" s="351">
        <v>291.60000000000002</v>
      </c>
      <c r="O17" s="351">
        <f>1.1+484.2</f>
        <v>485.3</v>
      </c>
      <c r="P17" s="351">
        <v>274.5</v>
      </c>
      <c r="Q17" s="351">
        <f>10.6+113+1.7+16.5+3.8+1.5+59.6+110.5+0.3+10+36.6</f>
        <v>364.10000000000008</v>
      </c>
      <c r="R17" s="586">
        <f t="shared" si="11"/>
        <v>4363.9000000000005</v>
      </c>
      <c r="S17" s="335">
        <f t="shared" si="1"/>
        <v>1116.8</v>
      </c>
      <c r="T17" s="335">
        <v>5025</v>
      </c>
      <c r="U17" s="335">
        <f t="shared" si="2"/>
        <v>5025</v>
      </c>
      <c r="V17" s="96">
        <f t="shared" si="3"/>
        <v>5025</v>
      </c>
      <c r="W17" s="96">
        <f t="shared" si="12"/>
        <v>1100</v>
      </c>
      <c r="X17" s="96">
        <v>200</v>
      </c>
      <c r="Y17" s="96">
        <v>500</v>
      </c>
      <c r="Z17" s="96">
        <v>400</v>
      </c>
      <c r="AA17" s="96">
        <v>400</v>
      </c>
      <c r="AB17" s="96">
        <v>500</v>
      </c>
      <c r="AC17" s="96">
        <v>400</v>
      </c>
      <c r="AD17" s="96">
        <v>500</v>
      </c>
      <c r="AE17" s="96">
        <v>400</v>
      </c>
      <c r="AF17" s="96">
        <v>400</v>
      </c>
      <c r="AG17" s="96">
        <v>400</v>
      </c>
      <c r="AH17" s="96">
        <v>400</v>
      </c>
      <c r="AI17" s="96">
        <v>525</v>
      </c>
      <c r="AJ17" s="571">
        <v>192.1</v>
      </c>
      <c r="AK17" s="571">
        <f>2.6+288</f>
        <v>290.60000000000002</v>
      </c>
      <c r="AL17" s="571">
        <f>97.6+28.6</f>
        <v>126.19999999999999</v>
      </c>
      <c r="AM17" s="566"/>
      <c r="AN17" s="566"/>
      <c r="AO17" s="566"/>
      <c r="AP17" s="566"/>
      <c r="AQ17" s="566"/>
      <c r="AR17" s="566"/>
      <c r="AS17" s="566"/>
      <c r="AT17" s="566"/>
      <c r="AU17" s="566"/>
      <c r="AV17" s="602">
        <f t="shared" si="5"/>
        <v>608.9</v>
      </c>
      <c r="AW17" s="335">
        <f t="shared" si="6"/>
        <v>-273.8</v>
      </c>
      <c r="AX17" s="335">
        <f t="shared" si="7"/>
        <v>-491.1</v>
      </c>
      <c r="AY17" s="335">
        <f t="shared" si="8"/>
        <v>-491.1</v>
      </c>
      <c r="AZ17" s="170"/>
      <c r="BA17" s="102"/>
      <c r="BB17" s="186"/>
      <c r="BC17" s="266"/>
      <c r="BD17" s="186"/>
      <c r="BE17" s="186"/>
      <c r="BF17" s="186"/>
      <c r="BG17" s="549"/>
      <c r="BH17" s="550"/>
    </row>
    <row r="18" spans="1:70" s="14" customFormat="1" ht="23.25" customHeight="1" outlineLevel="3" x14ac:dyDescent="0.25">
      <c r="A18" s="5" t="s">
        <v>23</v>
      </c>
      <c r="B18" s="195" t="s">
        <v>107</v>
      </c>
      <c r="C18" s="137"/>
      <c r="D18" s="335">
        <v>1562.5</v>
      </c>
      <c r="E18" s="335">
        <v>1573.4</v>
      </c>
      <c r="F18" s="351">
        <f>2.4+109</f>
        <v>111.4</v>
      </c>
      <c r="G18" s="351">
        <f>2.4+127.4</f>
        <v>129.80000000000001</v>
      </c>
      <c r="H18" s="351">
        <v>157.19999999999999</v>
      </c>
      <c r="I18" s="351">
        <f>128.8+2.1</f>
        <v>130.9</v>
      </c>
      <c r="J18" s="351">
        <v>137.30000000000001</v>
      </c>
      <c r="K18" s="351">
        <v>205.9</v>
      </c>
      <c r="L18" s="351">
        <v>118.6</v>
      </c>
      <c r="M18" s="351">
        <v>118.2</v>
      </c>
      <c r="N18" s="351">
        <f>11.7+106.8</f>
        <v>118.5</v>
      </c>
      <c r="O18" s="351">
        <v>115.3</v>
      </c>
      <c r="P18" s="351">
        <v>108.6</v>
      </c>
      <c r="Q18" s="351">
        <f>11.7+2.9+5.1+6.6+5.8+16.8+72.8+11.9+11.7</f>
        <v>145.29999999999998</v>
      </c>
      <c r="R18" s="586">
        <f t="shared" si="11"/>
        <v>1596.9999999999998</v>
      </c>
      <c r="S18" s="335">
        <f t="shared" si="1"/>
        <v>398.4</v>
      </c>
      <c r="T18" s="335">
        <v>1623</v>
      </c>
      <c r="U18" s="335">
        <f t="shared" si="2"/>
        <v>1623</v>
      </c>
      <c r="V18" s="96">
        <f t="shared" si="3"/>
        <v>1623</v>
      </c>
      <c r="W18" s="96">
        <f t="shared" si="12"/>
        <v>350</v>
      </c>
      <c r="X18" s="96">
        <v>100</v>
      </c>
      <c r="Y18" s="96">
        <v>130</v>
      </c>
      <c r="Z18" s="96">
        <v>120</v>
      </c>
      <c r="AA18" s="96">
        <v>130</v>
      </c>
      <c r="AB18" s="96">
        <v>120</v>
      </c>
      <c r="AC18" s="96">
        <v>120</v>
      </c>
      <c r="AD18" s="96">
        <v>130</v>
      </c>
      <c r="AE18" s="96">
        <v>130</v>
      </c>
      <c r="AF18" s="96">
        <v>130</v>
      </c>
      <c r="AG18" s="96">
        <v>130</v>
      </c>
      <c r="AH18" s="96">
        <v>130</v>
      </c>
      <c r="AI18" s="96">
        <v>253</v>
      </c>
      <c r="AJ18" s="571">
        <v>185.9</v>
      </c>
      <c r="AK18" s="571">
        <v>124.2</v>
      </c>
      <c r="AL18" s="571">
        <v>131.19999999999999</v>
      </c>
      <c r="AM18" s="566"/>
      <c r="AN18" s="566"/>
      <c r="AO18" s="566"/>
      <c r="AP18" s="566"/>
      <c r="AQ18" s="566"/>
      <c r="AR18" s="566"/>
      <c r="AS18" s="566"/>
      <c r="AT18" s="566"/>
      <c r="AU18" s="566"/>
      <c r="AV18" s="602">
        <f t="shared" si="5"/>
        <v>441.29999999999995</v>
      </c>
      <c r="AW18" s="335">
        <f t="shared" si="6"/>
        <v>11.199999999999989</v>
      </c>
      <c r="AX18" s="335">
        <f t="shared" si="7"/>
        <v>91.299999999999955</v>
      </c>
      <c r="AY18" s="335">
        <f t="shared" si="8"/>
        <v>91.299999999999955</v>
      </c>
      <c r="AZ18" s="170"/>
      <c r="BA18" s="102"/>
      <c r="BB18" s="186"/>
      <c r="BC18" s="266"/>
      <c r="BD18" s="186"/>
      <c r="BE18" s="186"/>
      <c r="BF18" s="186"/>
      <c r="BG18" s="549"/>
      <c r="BH18" s="550"/>
    </row>
    <row r="19" spans="1:70" s="14" customFormat="1" ht="30.75" customHeight="1" outlineLevel="2" x14ac:dyDescent="0.25">
      <c r="A19" s="5"/>
      <c r="B19" s="432" t="s">
        <v>364</v>
      </c>
      <c r="C19" s="137"/>
      <c r="D19" s="335">
        <v>0</v>
      </c>
      <c r="E19" s="335">
        <v>6.8</v>
      </c>
      <c r="F19" s="350"/>
      <c r="G19" s="350"/>
      <c r="H19" s="351"/>
      <c r="I19" s="351">
        <v>1.6</v>
      </c>
      <c r="J19" s="351">
        <v>5.2</v>
      </c>
      <c r="K19" s="351">
        <v>-0.1</v>
      </c>
      <c r="L19" s="350"/>
      <c r="M19" s="351"/>
      <c r="N19" s="350"/>
      <c r="O19" s="351">
        <v>0.1</v>
      </c>
      <c r="P19" s="351"/>
      <c r="Q19" s="351">
        <v>0.1</v>
      </c>
      <c r="R19" s="586">
        <f t="shared" si="11"/>
        <v>6.9</v>
      </c>
      <c r="S19" s="335">
        <f t="shared" si="1"/>
        <v>0</v>
      </c>
      <c r="T19" s="335">
        <v>7</v>
      </c>
      <c r="U19" s="335">
        <f t="shared" si="2"/>
        <v>7</v>
      </c>
      <c r="V19" s="96">
        <f>X19+Y19+Z19+AA19+AB19+AC19+AD19+AE19+AF19+AG19+AH19+AI19</f>
        <v>7</v>
      </c>
      <c r="W19" s="96">
        <f>X19+Y19+Z19</f>
        <v>0</v>
      </c>
      <c r="X19" s="96"/>
      <c r="Y19" s="96"/>
      <c r="Z19" s="96"/>
      <c r="AA19" s="96">
        <v>2</v>
      </c>
      <c r="AB19" s="96">
        <v>4</v>
      </c>
      <c r="AC19" s="96"/>
      <c r="AD19" s="96">
        <v>1</v>
      </c>
      <c r="AE19" s="96"/>
      <c r="AF19" s="96">
        <f>AG19+AH19+AI19</f>
        <v>0</v>
      </c>
      <c r="AG19" s="96"/>
      <c r="AH19" s="96"/>
      <c r="AI19" s="161"/>
      <c r="AJ19" s="571"/>
      <c r="AK19" s="571"/>
      <c r="AL19" s="571"/>
      <c r="AM19" s="566"/>
      <c r="AN19" s="566"/>
      <c r="AO19" s="566"/>
      <c r="AP19" s="566"/>
      <c r="AQ19" s="566"/>
      <c r="AR19" s="566"/>
      <c r="AS19" s="566"/>
      <c r="AT19" s="566"/>
      <c r="AU19" s="566"/>
      <c r="AV19" s="602">
        <f t="shared" si="5"/>
        <v>0</v>
      </c>
      <c r="AW19" s="335">
        <f t="shared" si="6"/>
        <v>0</v>
      </c>
      <c r="AX19" s="335">
        <f t="shared" si="7"/>
        <v>0</v>
      </c>
      <c r="AY19" s="335">
        <f t="shared" si="8"/>
        <v>0</v>
      </c>
      <c r="AZ19" s="170"/>
      <c r="BA19" s="102"/>
      <c r="BB19" s="186"/>
      <c r="BC19" s="266"/>
      <c r="BD19" s="186"/>
      <c r="BE19" s="186"/>
      <c r="BF19" s="186"/>
      <c r="BG19" s="549"/>
      <c r="BH19" s="550"/>
    </row>
    <row r="20" spans="1:70" s="14" customFormat="1" ht="34.5" customHeight="1" outlineLevel="2" x14ac:dyDescent="0.25">
      <c r="A20" s="5" t="s">
        <v>24</v>
      </c>
      <c r="B20" s="194" t="s">
        <v>25</v>
      </c>
      <c r="C20" s="137"/>
      <c r="D20" s="335">
        <v>924.8</v>
      </c>
      <c r="E20" s="335">
        <v>691.7</v>
      </c>
      <c r="F20" s="351"/>
      <c r="G20" s="351">
        <v>330.9</v>
      </c>
      <c r="H20" s="351">
        <v>-10.1</v>
      </c>
      <c r="I20" s="351">
        <v>99.4</v>
      </c>
      <c r="J20" s="351"/>
      <c r="K20" s="351">
        <v>-0.2</v>
      </c>
      <c r="L20" s="351">
        <v>134.9</v>
      </c>
      <c r="M20" s="351"/>
      <c r="N20" s="351">
        <v>1.2</v>
      </c>
      <c r="O20" s="351">
        <v>135</v>
      </c>
      <c r="P20" s="351"/>
      <c r="Q20" s="351">
        <v>0.6</v>
      </c>
      <c r="R20" s="586">
        <f t="shared" si="11"/>
        <v>691.7</v>
      </c>
      <c r="S20" s="335">
        <f t="shared" si="1"/>
        <v>320.79999999999995</v>
      </c>
      <c r="T20" s="335">
        <v>0</v>
      </c>
      <c r="U20" s="335">
        <f t="shared" si="2"/>
        <v>0</v>
      </c>
      <c r="V20" s="96">
        <f t="shared" si="3"/>
        <v>0</v>
      </c>
      <c r="W20" s="96">
        <f t="shared" si="12"/>
        <v>0</v>
      </c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571"/>
      <c r="AK20" s="571"/>
      <c r="AL20" s="571"/>
      <c r="AM20" s="566"/>
      <c r="AN20" s="566"/>
      <c r="AO20" s="566"/>
      <c r="AP20" s="566"/>
      <c r="AQ20" s="566"/>
      <c r="AR20" s="566"/>
      <c r="AS20" s="566"/>
      <c r="AT20" s="566"/>
      <c r="AU20" s="566"/>
      <c r="AV20" s="602">
        <f t="shared" si="5"/>
        <v>0</v>
      </c>
      <c r="AW20" s="335">
        <f t="shared" si="6"/>
        <v>0</v>
      </c>
      <c r="AX20" s="335">
        <f t="shared" si="7"/>
        <v>0</v>
      </c>
      <c r="AY20" s="335">
        <f t="shared" si="8"/>
        <v>0</v>
      </c>
      <c r="AZ20" s="170"/>
      <c r="BA20" s="102"/>
      <c r="BB20" s="186"/>
      <c r="BC20" s="266"/>
      <c r="BD20" s="186"/>
      <c r="BE20" s="186"/>
      <c r="BF20" s="186"/>
      <c r="BG20" s="549"/>
      <c r="BH20" s="550"/>
    </row>
    <row r="21" spans="1:70" s="14" customFormat="1" ht="37.5" customHeight="1" outlineLevel="2" x14ac:dyDescent="0.25">
      <c r="A21" s="5" t="s">
        <v>26</v>
      </c>
      <c r="B21" s="194" t="s">
        <v>469</v>
      </c>
      <c r="C21" s="137"/>
      <c r="D21" s="335">
        <v>444.4</v>
      </c>
      <c r="E21" s="335">
        <v>485.6</v>
      </c>
      <c r="F21" s="351">
        <v>36</v>
      </c>
      <c r="G21" s="351"/>
      <c r="H21" s="351"/>
      <c r="I21" s="351">
        <v>98.5</v>
      </c>
      <c r="J21" s="351">
        <v>28.2</v>
      </c>
      <c r="K21" s="351"/>
      <c r="L21" s="351">
        <v>40.9</v>
      </c>
      <c r="M21" s="351"/>
      <c r="N21" s="351">
        <f>10.2+1.8</f>
        <v>12</v>
      </c>
      <c r="O21" s="351">
        <v>109.6</v>
      </c>
      <c r="P21" s="351"/>
      <c r="Q21" s="351">
        <f>46.4+1.1+113</f>
        <v>160.5</v>
      </c>
      <c r="R21" s="586">
        <f t="shared" si="11"/>
        <v>485.7</v>
      </c>
      <c r="S21" s="335">
        <f t="shared" si="1"/>
        <v>36</v>
      </c>
      <c r="T21" s="335">
        <v>447.3</v>
      </c>
      <c r="U21" s="335">
        <f t="shared" si="2"/>
        <v>447.3</v>
      </c>
      <c r="V21" s="96">
        <f t="shared" si="3"/>
        <v>447.3</v>
      </c>
      <c r="W21" s="96">
        <f t="shared" si="12"/>
        <v>25.5</v>
      </c>
      <c r="X21" s="335"/>
      <c r="Y21" s="335">
        <v>25.5</v>
      </c>
      <c r="Z21" s="335"/>
      <c r="AA21" s="335">
        <v>90</v>
      </c>
      <c r="AB21" s="335">
        <v>25.5</v>
      </c>
      <c r="AC21" s="335">
        <v>12</v>
      </c>
      <c r="AD21" s="335">
        <v>45.5</v>
      </c>
      <c r="AE21" s="335">
        <v>20</v>
      </c>
      <c r="AF21" s="335">
        <v>25</v>
      </c>
      <c r="AG21" s="335">
        <v>35.5</v>
      </c>
      <c r="AH21" s="335">
        <v>95.3</v>
      </c>
      <c r="AI21" s="335">
        <v>73</v>
      </c>
      <c r="AJ21" s="571"/>
      <c r="AK21" s="571">
        <v>4.8</v>
      </c>
      <c r="AL21" s="571"/>
      <c r="AM21" s="566"/>
      <c r="AN21" s="566"/>
      <c r="AO21" s="566"/>
      <c r="AP21" s="566"/>
      <c r="AQ21" s="566"/>
      <c r="AR21" s="566"/>
      <c r="AS21" s="566"/>
      <c r="AT21" s="566"/>
      <c r="AU21" s="566"/>
      <c r="AV21" s="602">
        <f t="shared" si="5"/>
        <v>4.8</v>
      </c>
      <c r="AW21" s="335">
        <f t="shared" si="6"/>
        <v>0</v>
      </c>
      <c r="AX21" s="335">
        <f t="shared" si="7"/>
        <v>-20.7</v>
      </c>
      <c r="AY21" s="335">
        <f t="shared" si="8"/>
        <v>-20.7</v>
      </c>
      <c r="AZ21" s="170"/>
      <c r="BA21" s="102"/>
      <c r="BB21" s="186"/>
      <c r="BC21" s="266"/>
      <c r="BD21" s="186"/>
      <c r="BE21" s="186"/>
      <c r="BF21" s="186"/>
      <c r="BG21" s="549"/>
      <c r="BH21" s="550"/>
    </row>
    <row r="22" spans="1:70" s="14" customFormat="1" ht="31.5" customHeight="1" outlineLevel="2" x14ac:dyDescent="0.25">
      <c r="A22" s="5"/>
      <c r="B22" s="194" t="s">
        <v>570</v>
      </c>
      <c r="C22" s="137"/>
      <c r="D22" s="335">
        <v>122.4</v>
      </c>
      <c r="E22" s="335">
        <v>167.7</v>
      </c>
      <c r="F22" s="351">
        <v>11.3</v>
      </c>
      <c r="G22" s="351">
        <v>11</v>
      </c>
      <c r="H22" s="351">
        <v>11.1</v>
      </c>
      <c r="I22" s="351">
        <v>11.2</v>
      </c>
      <c r="J22" s="351">
        <v>11.2</v>
      </c>
      <c r="K22" s="351">
        <v>11.2</v>
      </c>
      <c r="L22" s="351">
        <v>42.7</v>
      </c>
      <c r="M22" s="351">
        <v>11</v>
      </c>
      <c r="N22" s="351">
        <v>11.9</v>
      </c>
      <c r="O22" s="351">
        <f>89.9+11.5-90</f>
        <v>11.400000000000006</v>
      </c>
      <c r="P22" s="351">
        <v>12.4</v>
      </c>
      <c r="Q22" s="351">
        <v>11.2</v>
      </c>
      <c r="R22" s="586">
        <f t="shared" si="11"/>
        <v>167.6</v>
      </c>
      <c r="S22" s="335">
        <f t="shared" si="1"/>
        <v>33.4</v>
      </c>
      <c r="T22" s="335">
        <v>138</v>
      </c>
      <c r="U22" s="335">
        <f t="shared" si="2"/>
        <v>138</v>
      </c>
      <c r="V22" s="96">
        <f>X22+Y22+Z22+AA22+AB22+AC22+AD22+AE22+AF22+AG22+AH22+AI22</f>
        <v>138</v>
      </c>
      <c r="W22" s="96">
        <f t="shared" si="12"/>
        <v>34.5</v>
      </c>
      <c r="X22" s="335"/>
      <c r="Y22" s="335">
        <v>34.5</v>
      </c>
      <c r="Z22" s="335"/>
      <c r="AA22" s="335"/>
      <c r="AB22" s="335">
        <v>34.5</v>
      </c>
      <c r="AC22" s="335"/>
      <c r="AD22" s="335">
        <v>34.5</v>
      </c>
      <c r="AE22" s="335"/>
      <c r="AF22" s="335"/>
      <c r="AG22" s="335">
        <v>34.5</v>
      </c>
      <c r="AH22" s="335"/>
      <c r="AI22" s="335"/>
      <c r="AJ22" s="571">
        <v>11.1</v>
      </c>
      <c r="AK22" s="571">
        <v>0.5</v>
      </c>
      <c r="AL22" s="571">
        <v>22.1</v>
      </c>
      <c r="AM22" s="566"/>
      <c r="AN22" s="566"/>
      <c r="AO22" s="566"/>
      <c r="AP22" s="566"/>
      <c r="AQ22" s="566"/>
      <c r="AR22" s="566"/>
      <c r="AS22" s="566"/>
      <c r="AT22" s="566"/>
      <c r="AU22" s="566"/>
      <c r="AV22" s="602">
        <f t="shared" si="5"/>
        <v>33.700000000000003</v>
      </c>
      <c r="AW22" s="335">
        <f t="shared" si="6"/>
        <v>22.1</v>
      </c>
      <c r="AX22" s="335">
        <f t="shared" si="7"/>
        <v>-0.79999999999999716</v>
      </c>
      <c r="AY22" s="335">
        <f t="shared" si="8"/>
        <v>-0.79999999999999716</v>
      </c>
      <c r="AZ22" s="170"/>
      <c r="BA22" s="102"/>
      <c r="BB22" s="186"/>
      <c r="BC22" s="266"/>
      <c r="BD22" s="186"/>
      <c r="BE22" s="186"/>
      <c r="BF22" s="186"/>
      <c r="BG22" s="549"/>
      <c r="BH22" s="550"/>
    </row>
    <row r="23" spans="1:70" s="14" customFormat="1" ht="32.25" customHeight="1" outlineLevel="2" x14ac:dyDescent="0.25">
      <c r="A23" s="5"/>
      <c r="B23" s="194" t="s">
        <v>669</v>
      </c>
      <c r="C23" s="137"/>
      <c r="D23" s="335">
        <v>0</v>
      </c>
      <c r="E23" s="335">
        <v>737.3</v>
      </c>
      <c r="F23" s="351"/>
      <c r="G23" s="351"/>
      <c r="H23" s="351"/>
      <c r="I23" s="351"/>
      <c r="J23" s="351"/>
      <c r="K23" s="351"/>
      <c r="L23" s="351">
        <v>737.3</v>
      </c>
      <c r="M23" s="351"/>
      <c r="N23" s="351"/>
      <c r="O23" s="351"/>
      <c r="P23" s="351"/>
      <c r="Q23" s="351"/>
      <c r="R23" s="586">
        <f t="shared" si="11"/>
        <v>737.3</v>
      </c>
      <c r="S23" s="335">
        <f t="shared" si="1"/>
        <v>0</v>
      </c>
      <c r="T23" s="335">
        <v>0</v>
      </c>
      <c r="U23" s="335">
        <f t="shared" si="2"/>
        <v>0</v>
      </c>
      <c r="V23" s="96">
        <f t="shared" si="3"/>
        <v>0</v>
      </c>
      <c r="W23" s="96">
        <f t="shared" si="12"/>
        <v>0</v>
      </c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571"/>
      <c r="AK23" s="571"/>
      <c r="AL23" s="571"/>
      <c r="AM23" s="566"/>
      <c r="AN23" s="566"/>
      <c r="AO23" s="566"/>
      <c r="AP23" s="566"/>
      <c r="AQ23" s="566"/>
      <c r="AR23" s="566"/>
      <c r="AS23" s="566"/>
      <c r="AT23" s="566"/>
      <c r="AU23" s="566"/>
      <c r="AV23" s="602">
        <f t="shared" si="5"/>
        <v>0</v>
      </c>
      <c r="AW23" s="335">
        <f t="shared" si="6"/>
        <v>0</v>
      </c>
      <c r="AX23" s="335">
        <f t="shared" si="7"/>
        <v>0</v>
      </c>
      <c r="AY23" s="335">
        <f t="shared" si="8"/>
        <v>0</v>
      </c>
      <c r="AZ23" s="170"/>
      <c r="BA23" s="102"/>
      <c r="BB23" s="186"/>
      <c r="BC23" s="266"/>
      <c r="BD23" s="186"/>
      <c r="BE23" s="186"/>
      <c r="BF23" s="186"/>
      <c r="BG23" s="549"/>
      <c r="BH23" s="550"/>
    </row>
    <row r="24" spans="1:70" s="14" customFormat="1" ht="33.75" customHeight="1" outlineLevel="2" x14ac:dyDescent="0.25">
      <c r="A24" s="5" t="s">
        <v>27</v>
      </c>
      <c r="B24" s="194" t="s">
        <v>571</v>
      </c>
      <c r="C24" s="137"/>
      <c r="D24" s="335">
        <v>4500</v>
      </c>
      <c r="E24" s="335">
        <v>12108.5</v>
      </c>
      <c r="F24" s="351">
        <v>155</v>
      </c>
      <c r="G24" s="351">
        <v>371.8</v>
      </c>
      <c r="H24" s="351">
        <v>554</v>
      </c>
      <c r="I24" s="351">
        <v>777.8</v>
      </c>
      <c r="J24" s="351">
        <f>116+23</f>
        <v>139</v>
      </c>
      <c r="K24" s="351">
        <v>166.5</v>
      </c>
      <c r="L24" s="351">
        <v>341.7</v>
      </c>
      <c r="M24" s="351"/>
      <c r="N24" s="351">
        <v>314.7</v>
      </c>
      <c r="O24" s="351">
        <v>4910.8</v>
      </c>
      <c r="P24" s="351">
        <f>21.6+212.7</f>
        <v>234.29999999999998</v>
      </c>
      <c r="Q24" s="351">
        <f>246.7+19.9+26.3+0.7+3849.4+32.3</f>
        <v>4175.3</v>
      </c>
      <c r="R24" s="586">
        <f t="shared" si="11"/>
        <v>12140.9</v>
      </c>
      <c r="S24" s="335">
        <f t="shared" si="1"/>
        <v>1080.8</v>
      </c>
      <c r="T24" s="335">
        <v>4500</v>
      </c>
      <c r="U24" s="335">
        <f t="shared" si="2"/>
        <v>4500</v>
      </c>
      <c r="V24" s="96">
        <f t="shared" si="3"/>
        <v>4500</v>
      </c>
      <c r="W24" s="96">
        <f t="shared" si="12"/>
        <v>500</v>
      </c>
      <c r="X24" s="96"/>
      <c r="Y24" s="96">
        <v>250</v>
      </c>
      <c r="Z24" s="96">
        <v>250</v>
      </c>
      <c r="AA24" s="96">
        <v>500</v>
      </c>
      <c r="AB24" s="96">
        <v>500</v>
      </c>
      <c r="AC24" s="96">
        <v>500</v>
      </c>
      <c r="AD24" s="96">
        <v>500</v>
      </c>
      <c r="AE24" s="96">
        <v>500</v>
      </c>
      <c r="AF24" s="96">
        <v>500</v>
      </c>
      <c r="AG24" s="96">
        <v>300</v>
      </c>
      <c r="AH24" s="96">
        <v>400</v>
      </c>
      <c r="AI24" s="96">
        <v>300</v>
      </c>
      <c r="AJ24" s="571">
        <v>231.5</v>
      </c>
      <c r="AK24" s="571">
        <v>125.7</v>
      </c>
      <c r="AL24" s="571">
        <v>332</v>
      </c>
      <c r="AM24" s="566"/>
      <c r="AN24" s="566"/>
      <c r="AO24" s="566"/>
      <c r="AP24" s="566"/>
      <c r="AQ24" s="566"/>
      <c r="AR24" s="566"/>
      <c r="AS24" s="566"/>
      <c r="AT24" s="566"/>
      <c r="AU24" s="566"/>
      <c r="AV24" s="602">
        <f t="shared" si="5"/>
        <v>689.2</v>
      </c>
      <c r="AW24" s="335">
        <f t="shared" si="6"/>
        <v>82</v>
      </c>
      <c r="AX24" s="335">
        <f t="shared" si="7"/>
        <v>189.20000000000005</v>
      </c>
      <c r="AY24" s="335">
        <f t="shared" si="8"/>
        <v>189.20000000000005</v>
      </c>
      <c r="AZ24" s="170"/>
      <c r="BA24" s="102"/>
      <c r="BB24" s="186"/>
      <c r="BC24" s="266"/>
      <c r="BD24" s="186"/>
      <c r="BE24" s="186"/>
      <c r="BF24" s="186"/>
      <c r="BG24" s="549"/>
      <c r="BH24" s="550"/>
    </row>
    <row r="25" spans="1:70" s="14" customFormat="1" ht="33.75" customHeight="1" outlineLevel="2" x14ac:dyDescent="0.25">
      <c r="A25" s="5" t="s">
        <v>28</v>
      </c>
      <c r="B25" s="194" t="s">
        <v>424</v>
      </c>
      <c r="C25" s="137"/>
      <c r="D25" s="335">
        <v>650</v>
      </c>
      <c r="E25" s="335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586">
        <f t="shared" si="11"/>
        <v>0</v>
      </c>
      <c r="S25" s="335">
        <f t="shared" si="1"/>
        <v>0</v>
      </c>
      <c r="T25" s="335">
        <v>250</v>
      </c>
      <c r="U25" s="335">
        <f t="shared" si="2"/>
        <v>250</v>
      </c>
      <c r="V25" s="96">
        <f t="shared" si="3"/>
        <v>250</v>
      </c>
      <c r="W25" s="96">
        <f t="shared" si="12"/>
        <v>0</v>
      </c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161">
        <v>250</v>
      </c>
      <c r="AJ25" s="571"/>
      <c r="AK25" s="571"/>
      <c r="AL25" s="571"/>
      <c r="AM25" s="566"/>
      <c r="AN25" s="566"/>
      <c r="AO25" s="566"/>
      <c r="AP25" s="566"/>
      <c r="AQ25" s="566"/>
      <c r="AR25" s="566"/>
      <c r="AS25" s="566"/>
      <c r="AT25" s="566"/>
      <c r="AU25" s="566"/>
      <c r="AV25" s="602">
        <f t="shared" si="5"/>
        <v>0</v>
      </c>
      <c r="AW25" s="335">
        <f t="shared" si="6"/>
        <v>0</v>
      </c>
      <c r="AX25" s="335">
        <f t="shared" si="7"/>
        <v>0</v>
      </c>
      <c r="AY25" s="335">
        <f t="shared" si="8"/>
        <v>0</v>
      </c>
      <c r="AZ25" s="170"/>
      <c r="BA25" s="102"/>
      <c r="BB25" s="186"/>
      <c r="BC25" s="266"/>
      <c r="BD25" s="186"/>
      <c r="BE25" s="186"/>
      <c r="BF25" s="186"/>
      <c r="BG25" s="549"/>
      <c r="BH25" s="550"/>
    </row>
    <row r="26" spans="1:70" s="14" customFormat="1" ht="22.5" customHeight="1" outlineLevel="1" x14ac:dyDescent="0.25">
      <c r="A26" s="5" t="s">
        <v>29</v>
      </c>
      <c r="B26" s="194" t="s">
        <v>109</v>
      </c>
      <c r="C26" s="137"/>
      <c r="D26" s="335">
        <v>749.5</v>
      </c>
      <c r="E26" s="335">
        <v>842.3</v>
      </c>
      <c r="F26" s="351">
        <f>0.8+19.4+2.9+2+5.6</f>
        <v>30.699999999999996</v>
      </c>
      <c r="G26" s="351">
        <v>47.1</v>
      </c>
      <c r="H26" s="351">
        <v>26.7</v>
      </c>
      <c r="I26" s="351">
        <f>2.7+48</f>
        <v>50.7</v>
      </c>
      <c r="J26" s="351">
        <v>213.7</v>
      </c>
      <c r="K26" s="351">
        <f>25+16.9</f>
        <v>41.9</v>
      </c>
      <c r="L26" s="351">
        <v>61.6</v>
      </c>
      <c r="M26" s="351">
        <v>97.7</v>
      </c>
      <c r="N26" s="351">
        <v>34.299999999999997</v>
      </c>
      <c r="O26" s="351">
        <f>36.8+4.3</f>
        <v>41.099999999999994</v>
      </c>
      <c r="P26" s="351">
        <f>6.5+33.6+2.5+1</f>
        <v>43.6</v>
      </c>
      <c r="Q26" s="351">
        <f>0.8+2.5+0.5+2.3+1.5+3.7+2+133.8+5.4+0.8-13.4+1+2.8+14.8+0.2+1.8+0.7+2.5+1.4+0.5</f>
        <v>165.60000000000005</v>
      </c>
      <c r="R26" s="586">
        <f t="shared" si="11"/>
        <v>854.7</v>
      </c>
      <c r="S26" s="335">
        <f t="shared" si="1"/>
        <v>104.5</v>
      </c>
      <c r="T26" s="335">
        <v>951.3</v>
      </c>
      <c r="U26" s="335">
        <f t="shared" si="2"/>
        <v>951.3</v>
      </c>
      <c r="V26" s="96">
        <f t="shared" si="3"/>
        <v>951.3</v>
      </c>
      <c r="W26" s="96">
        <f t="shared" si="12"/>
        <v>121.3</v>
      </c>
      <c r="X26" s="96"/>
      <c r="Y26" s="96">
        <v>70</v>
      </c>
      <c r="Z26" s="96">
        <v>51.3</v>
      </c>
      <c r="AA26" s="96">
        <v>50</v>
      </c>
      <c r="AB26" s="96">
        <v>130</v>
      </c>
      <c r="AC26" s="96">
        <v>100</v>
      </c>
      <c r="AD26" s="96">
        <v>100</v>
      </c>
      <c r="AE26" s="96">
        <v>100</v>
      </c>
      <c r="AF26" s="96">
        <v>100</v>
      </c>
      <c r="AG26" s="96">
        <v>100</v>
      </c>
      <c r="AH26" s="96">
        <v>100</v>
      </c>
      <c r="AI26" s="161">
        <v>50</v>
      </c>
      <c r="AJ26" s="571">
        <f>11.5+10</f>
        <v>21.5</v>
      </c>
      <c r="AK26" s="571">
        <v>1338.5</v>
      </c>
      <c r="AL26" s="571">
        <f>2.7+2.5</f>
        <v>5.2</v>
      </c>
      <c r="AM26" s="566"/>
      <c r="AN26" s="566"/>
      <c r="AO26" s="566"/>
      <c r="AP26" s="566"/>
      <c r="AQ26" s="566"/>
      <c r="AR26" s="566"/>
      <c r="AS26" s="566"/>
      <c r="AT26" s="566"/>
      <c r="AU26" s="566"/>
      <c r="AV26" s="602">
        <f t="shared" si="5"/>
        <v>1365.2</v>
      </c>
      <c r="AW26" s="335">
        <f t="shared" si="6"/>
        <v>-46.099999999999994</v>
      </c>
      <c r="AX26" s="335">
        <f t="shared" si="7"/>
        <v>1243.9000000000001</v>
      </c>
      <c r="AY26" s="335">
        <f t="shared" si="8"/>
        <v>1243.9000000000001</v>
      </c>
      <c r="AZ26" s="170"/>
      <c r="BA26" s="102"/>
      <c r="BB26" s="186"/>
      <c r="BC26" s="266"/>
      <c r="BD26" s="186"/>
      <c r="BE26" s="186"/>
      <c r="BF26" s="186"/>
      <c r="BG26" s="549"/>
      <c r="BH26" s="550"/>
    </row>
    <row r="27" spans="1:70" s="317" customFormat="1" ht="30.75" customHeight="1" outlineLevel="1" x14ac:dyDescent="0.25">
      <c r="A27" s="315"/>
      <c r="B27" s="97" t="s">
        <v>178</v>
      </c>
      <c r="C27" s="316"/>
      <c r="D27" s="335">
        <v>0</v>
      </c>
      <c r="E27" s="335">
        <v>0.6</v>
      </c>
      <c r="F27" s="176">
        <v>0.1</v>
      </c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>
        <v>0.5</v>
      </c>
      <c r="R27" s="586">
        <f t="shared" si="11"/>
        <v>0.6</v>
      </c>
      <c r="S27" s="335">
        <f t="shared" si="1"/>
        <v>0.1</v>
      </c>
      <c r="T27" s="335">
        <v>0</v>
      </c>
      <c r="U27" s="335">
        <f t="shared" si="2"/>
        <v>0</v>
      </c>
      <c r="V27" s="96">
        <f t="shared" si="3"/>
        <v>0</v>
      </c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571"/>
      <c r="AK27" s="571"/>
      <c r="AL27" s="566"/>
      <c r="AM27" s="566"/>
      <c r="AN27" s="566"/>
      <c r="AO27" s="566"/>
      <c r="AP27" s="566"/>
      <c r="AQ27" s="566"/>
      <c r="AR27" s="566"/>
      <c r="AS27" s="566"/>
      <c r="AT27" s="566"/>
      <c r="AU27" s="566"/>
      <c r="AV27" s="602">
        <f t="shared" si="5"/>
        <v>0</v>
      </c>
      <c r="AW27" s="335">
        <f t="shared" si="6"/>
        <v>0</v>
      </c>
      <c r="AX27" s="335">
        <f t="shared" si="7"/>
        <v>0</v>
      </c>
      <c r="AY27" s="335">
        <f t="shared" si="8"/>
        <v>0</v>
      </c>
      <c r="AZ27" s="170"/>
      <c r="BA27" s="102"/>
      <c r="BB27" s="186"/>
      <c r="BC27" s="266"/>
      <c r="BD27" s="186"/>
      <c r="BE27" s="186"/>
      <c r="BF27" s="186"/>
      <c r="BG27" s="268"/>
      <c r="BH27" s="550"/>
    </row>
    <row r="28" spans="1:70" s="317" customFormat="1" ht="18.75" hidden="1" customHeight="1" outlineLevel="1" x14ac:dyDescent="0.25">
      <c r="A28" s="315"/>
      <c r="B28" s="197" t="s">
        <v>452</v>
      </c>
      <c r="C28" s="316"/>
      <c r="D28" s="335">
        <v>0</v>
      </c>
      <c r="E28" s="335">
        <v>0</v>
      </c>
      <c r="F28" s="174"/>
      <c r="G28" s="176"/>
      <c r="H28" s="176"/>
      <c r="I28" s="176"/>
      <c r="J28" s="176"/>
      <c r="K28" s="176">
        <v>2.2000000000000002</v>
      </c>
      <c r="L28" s="176">
        <v>-2.2000000000000002</v>
      </c>
      <c r="M28" s="176"/>
      <c r="N28" s="176"/>
      <c r="O28" s="176"/>
      <c r="P28" s="176">
        <v>11.7</v>
      </c>
      <c r="Q28" s="176">
        <f>-11.7</f>
        <v>-11.7</v>
      </c>
      <c r="R28" s="586">
        <f t="shared" si="11"/>
        <v>0</v>
      </c>
      <c r="S28" s="335">
        <f t="shared" si="1"/>
        <v>0</v>
      </c>
      <c r="T28" s="335">
        <v>0</v>
      </c>
      <c r="U28" s="335">
        <f t="shared" si="2"/>
        <v>0</v>
      </c>
      <c r="V28" s="96">
        <f t="shared" si="3"/>
        <v>0</v>
      </c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571"/>
      <c r="AK28" s="571"/>
      <c r="AL28" s="566"/>
      <c r="AM28" s="566"/>
      <c r="AN28" s="566"/>
      <c r="AO28" s="566"/>
      <c r="AP28" s="566"/>
      <c r="AQ28" s="566"/>
      <c r="AR28" s="566"/>
      <c r="AS28" s="566"/>
      <c r="AT28" s="566"/>
      <c r="AU28" s="566"/>
      <c r="AV28" s="602">
        <f t="shared" si="5"/>
        <v>0</v>
      </c>
      <c r="AW28" s="335">
        <f t="shared" si="6"/>
        <v>0</v>
      </c>
      <c r="AX28" s="335">
        <f t="shared" si="7"/>
        <v>0</v>
      </c>
      <c r="AY28" s="335">
        <f t="shared" si="8"/>
        <v>0</v>
      </c>
      <c r="AZ28" s="170"/>
      <c r="BA28" s="102"/>
      <c r="BB28" s="186"/>
      <c r="BC28" s="266"/>
      <c r="BD28" s="186"/>
      <c r="BE28" s="186"/>
      <c r="BF28" s="186"/>
      <c r="BG28" s="268"/>
      <c r="BH28" s="550"/>
    </row>
    <row r="29" spans="1:70" s="317" customFormat="1" ht="32.25" customHeight="1" outlineLevel="1" x14ac:dyDescent="0.25">
      <c r="A29" s="315"/>
      <c r="B29" s="197" t="s">
        <v>673</v>
      </c>
      <c r="C29" s="316"/>
      <c r="D29" s="335"/>
      <c r="E29" s="335"/>
      <c r="F29" s="174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586">
        <v>0</v>
      </c>
      <c r="S29" s="335">
        <f t="shared" si="1"/>
        <v>0</v>
      </c>
      <c r="T29" s="335">
        <v>0</v>
      </c>
      <c r="U29" s="335">
        <f>311.5+286.1+1294</f>
        <v>1891.6</v>
      </c>
      <c r="V29" s="96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571"/>
      <c r="AK29" s="571"/>
      <c r="AL29" s="566"/>
      <c r="AM29" s="566"/>
      <c r="AN29" s="566"/>
      <c r="AO29" s="566"/>
      <c r="AP29" s="566"/>
      <c r="AQ29" s="566"/>
      <c r="AR29" s="566"/>
      <c r="AS29" s="566"/>
      <c r="AT29" s="566"/>
      <c r="AU29" s="566"/>
      <c r="AV29" s="602">
        <f t="shared" si="5"/>
        <v>0</v>
      </c>
      <c r="AW29" s="335">
        <f t="shared" si="6"/>
        <v>0</v>
      </c>
      <c r="AX29" s="335">
        <f t="shared" si="7"/>
        <v>0</v>
      </c>
      <c r="AY29" s="335">
        <f t="shared" si="8"/>
        <v>0</v>
      </c>
      <c r="AZ29" s="170"/>
      <c r="BA29" s="102"/>
      <c r="BB29" s="186"/>
      <c r="BC29" s="266"/>
      <c r="BD29" s="186"/>
      <c r="BE29" s="186"/>
      <c r="BF29" s="186"/>
      <c r="BG29" s="268"/>
      <c r="BH29" s="550"/>
    </row>
    <row r="30" spans="1:70" s="317" customFormat="1" ht="23.25" customHeight="1" outlineLevel="1" x14ac:dyDescent="0.25">
      <c r="A30" s="315"/>
      <c r="B30" s="197" t="s">
        <v>674</v>
      </c>
      <c r="C30" s="316"/>
      <c r="D30" s="335">
        <v>0</v>
      </c>
      <c r="E30" s="335">
        <v>695.4</v>
      </c>
      <c r="F30" s="174"/>
      <c r="G30" s="174"/>
      <c r="H30" s="174"/>
      <c r="I30" s="176"/>
      <c r="J30" s="176">
        <f>109.7+190.5</f>
        <v>300.2</v>
      </c>
      <c r="K30" s="176">
        <f>80.1+309.5</f>
        <v>389.6</v>
      </c>
      <c r="L30" s="176">
        <v>5.6</v>
      </c>
      <c r="M30" s="176"/>
      <c r="N30" s="176"/>
      <c r="O30" s="174"/>
      <c r="P30" s="176"/>
      <c r="Q30" s="174"/>
      <c r="R30" s="586">
        <f>SUM(F30:Q30)</f>
        <v>695.4</v>
      </c>
      <c r="S30" s="335">
        <f t="shared" si="1"/>
        <v>0</v>
      </c>
      <c r="T30" s="335">
        <v>0</v>
      </c>
      <c r="U30" s="335">
        <v>507.9</v>
      </c>
      <c r="V30" s="96">
        <f t="shared" si="3"/>
        <v>0</v>
      </c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571"/>
      <c r="AK30" s="571"/>
      <c r="AL30" s="566"/>
      <c r="AM30" s="566"/>
      <c r="AN30" s="566"/>
      <c r="AO30" s="566"/>
      <c r="AP30" s="566"/>
      <c r="AQ30" s="566"/>
      <c r="AR30" s="566"/>
      <c r="AS30" s="566"/>
      <c r="AT30" s="566"/>
      <c r="AU30" s="566"/>
      <c r="AV30" s="602">
        <f t="shared" si="5"/>
        <v>0</v>
      </c>
      <c r="AW30" s="335">
        <f t="shared" si="6"/>
        <v>0</v>
      </c>
      <c r="AX30" s="335">
        <f t="shared" si="7"/>
        <v>0</v>
      </c>
      <c r="AY30" s="335">
        <f t="shared" si="8"/>
        <v>0</v>
      </c>
      <c r="AZ30" s="170"/>
      <c r="BA30" s="102"/>
      <c r="BB30" s="186"/>
      <c r="BC30" s="266"/>
      <c r="BD30" s="186"/>
      <c r="BE30" s="186"/>
      <c r="BF30" s="186"/>
      <c r="BG30" s="268"/>
      <c r="BH30" s="550"/>
    </row>
    <row r="31" spans="1:70" s="14" customFormat="1" ht="24.75" customHeight="1" outlineLevel="1" x14ac:dyDescent="0.25">
      <c r="A31" s="5"/>
      <c r="B31" s="568" t="s">
        <v>146</v>
      </c>
      <c r="C31" s="569"/>
      <c r="D31" s="570">
        <f t="shared" ref="D31:AY31" si="14">SUM(D16:D30)</f>
        <v>13360.9</v>
      </c>
      <c r="E31" s="570">
        <f t="shared" si="14"/>
        <v>21757.3</v>
      </c>
      <c r="F31" s="570">
        <f t="shared" si="14"/>
        <v>540.80000000000007</v>
      </c>
      <c r="G31" s="570">
        <f t="shared" si="14"/>
        <v>1295.8</v>
      </c>
      <c r="H31" s="570">
        <f t="shared" si="14"/>
        <v>1385.2</v>
      </c>
      <c r="I31" s="570">
        <f t="shared" si="14"/>
        <v>1530.9</v>
      </c>
      <c r="J31" s="570">
        <f t="shared" si="14"/>
        <v>1360.7000000000003</v>
      </c>
      <c r="K31" s="570">
        <f t="shared" si="14"/>
        <v>1140.4000000000001</v>
      </c>
      <c r="L31" s="570">
        <f t="shared" si="14"/>
        <v>1809.1999999999998</v>
      </c>
      <c r="M31" s="570">
        <f t="shared" si="14"/>
        <v>520.29999999999995</v>
      </c>
      <c r="N31" s="570">
        <f t="shared" si="14"/>
        <v>784.19999999999993</v>
      </c>
      <c r="O31" s="570">
        <f t="shared" si="14"/>
        <v>5808.6</v>
      </c>
      <c r="P31" s="570">
        <f t="shared" si="14"/>
        <v>685.1</v>
      </c>
      <c r="Q31" s="570">
        <f t="shared" si="14"/>
        <v>5011.5000000000009</v>
      </c>
      <c r="R31" s="570">
        <f t="shared" si="14"/>
        <v>21872.7</v>
      </c>
      <c r="S31" s="570">
        <f t="shared" si="14"/>
        <v>3221.7999999999997</v>
      </c>
      <c r="T31" s="570">
        <f t="shared" si="14"/>
        <v>13076.599999999999</v>
      </c>
      <c r="U31" s="570">
        <f t="shared" si="14"/>
        <v>15476.099999999999</v>
      </c>
      <c r="V31" s="570">
        <f t="shared" si="14"/>
        <v>13076.599999999999</v>
      </c>
      <c r="W31" s="570">
        <f t="shared" si="14"/>
        <v>2131.3000000000002</v>
      </c>
      <c r="X31" s="570">
        <f t="shared" si="14"/>
        <v>300</v>
      </c>
      <c r="Y31" s="570">
        <f t="shared" si="14"/>
        <v>1010</v>
      </c>
      <c r="Z31" s="570">
        <f t="shared" si="14"/>
        <v>821.3</v>
      </c>
      <c r="AA31" s="570">
        <f t="shared" si="14"/>
        <v>1307</v>
      </c>
      <c r="AB31" s="570">
        <f t="shared" si="14"/>
        <v>1314</v>
      </c>
      <c r="AC31" s="570">
        <f t="shared" si="14"/>
        <v>1132</v>
      </c>
      <c r="AD31" s="570">
        <f t="shared" si="14"/>
        <v>1311</v>
      </c>
      <c r="AE31" s="570">
        <f t="shared" si="14"/>
        <v>1150</v>
      </c>
      <c r="AF31" s="570">
        <f t="shared" si="14"/>
        <v>1155</v>
      </c>
      <c r="AG31" s="570">
        <f t="shared" si="14"/>
        <v>1000</v>
      </c>
      <c r="AH31" s="570">
        <f t="shared" si="14"/>
        <v>1125.3</v>
      </c>
      <c r="AI31" s="570">
        <f t="shared" si="14"/>
        <v>1451</v>
      </c>
      <c r="AJ31" s="570">
        <f t="shared" si="14"/>
        <v>642.1</v>
      </c>
      <c r="AK31" s="570">
        <f t="shared" si="14"/>
        <v>1884.3000000000002</v>
      </c>
      <c r="AL31" s="570">
        <f t="shared" si="14"/>
        <v>616.70000000000005</v>
      </c>
      <c r="AM31" s="570">
        <f t="shared" si="14"/>
        <v>0</v>
      </c>
      <c r="AN31" s="570">
        <f t="shared" si="14"/>
        <v>0</v>
      </c>
      <c r="AO31" s="570">
        <f t="shared" si="14"/>
        <v>0</v>
      </c>
      <c r="AP31" s="570">
        <f t="shared" si="14"/>
        <v>0</v>
      </c>
      <c r="AQ31" s="570">
        <f t="shared" si="14"/>
        <v>0</v>
      </c>
      <c r="AR31" s="570">
        <f t="shared" si="14"/>
        <v>0</v>
      </c>
      <c r="AS31" s="570">
        <f t="shared" si="14"/>
        <v>0</v>
      </c>
      <c r="AT31" s="570">
        <f t="shared" si="14"/>
        <v>0</v>
      </c>
      <c r="AU31" s="570">
        <f t="shared" si="14"/>
        <v>0</v>
      </c>
      <c r="AV31" s="570">
        <f t="shared" si="14"/>
        <v>3143.1</v>
      </c>
      <c r="AW31" s="570">
        <f t="shared" si="14"/>
        <v>-204.60000000000002</v>
      </c>
      <c r="AX31" s="570">
        <f t="shared" si="14"/>
        <v>1011.8000000000001</v>
      </c>
      <c r="AY31" s="570">
        <f t="shared" si="14"/>
        <v>1011.8000000000001</v>
      </c>
      <c r="AZ31" s="333"/>
      <c r="BA31" s="236"/>
      <c r="BB31" s="266"/>
      <c r="BC31" s="236"/>
      <c r="BD31" s="266"/>
      <c r="BE31" s="266"/>
      <c r="BF31" s="236"/>
      <c r="BG31" s="236"/>
      <c r="BH31" s="236"/>
    </row>
    <row r="32" spans="1:70" s="14" customFormat="1" ht="39" outlineLevel="1" x14ac:dyDescent="0.25">
      <c r="A32" s="5"/>
      <c r="B32" s="577" t="s">
        <v>110</v>
      </c>
      <c r="C32" s="578"/>
      <c r="D32" s="174">
        <f t="shared" ref="D32:AY32" si="15">D31+D15</f>
        <v>356952</v>
      </c>
      <c r="E32" s="174">
        <f t="shared" si="15"/>
        <v>365348.39999999997</v>
      </c>
      <c r="F32" s="174">
        <f t="shared" si="15"/>
        <v>12471.3</v>
      </c>
      <c r="G32" s="174">
        <f t="shared" si="15"/>
        <v>24060.9</v>
      </c>
      <c r="H32" s="174">
        <f t="shared" si="15"/>
        <v>25095.200000000001</v>
      </c>
      <c r="I32" s="174">
        <f t="shared" si="15"/>
        <v>36776.400000000001</v>
      </c>
      <c r="J32" s="174">
        <f t="shared" si="15"/>
        <v>22914.499999999996</v>
      </c>
      <c r="K32" s="174">
        <f t="shared" si="15"/>
        <v>29593.599999999995</v>
      </c>
      <c r="L32" s="174">
        <f t="shared" si="15"/>
        <v>37607.799999999988</v>
      </c>
      <c r="M32" s="174">
        <f t="shared" si="15"/>
        <v>25757.300000000003</v>
      </c>
      <c r="N32" s="174">
        <f t="shared" si="15"/>
        <v>29007.000000000004</v>
      </c>
      <c r="O32" s="174">
        <f t="shared" si="15"/>
        <v>42025.400000000009</v>
      </c>
      <c r="P32" s="174">
        <f t="shared" si="15"/>
        <v>31903.299999999992</v>
      </c>
      <c r="Q32" s="174">
        <f t="shared" si="15"/>
        <v>56593.999999999978</v>
      </c>
      <c r="R32" s="570">
        <f t="shared" si="15"/>
        <v>373806.7</v>
      </c>
      <c r="S32" s="174">
        <f t="shared" si="15"/>
        <v>61627.4</v>
      </c>
      <c r="T32" s="174">
        <f t="shared" si="15"/>
        <v>390794.8</v>
      </c>
      <c r="U32" s="174">
        <f t="shared" si="15"/>
        <v>393194.3</v>
      </c>
      <c r="V32" s="174">
        <f t="shared" si="15"/>
        <v>390794.8</v>
      </c>
      <c r="W32" s="174">
        <f t="shared" si="15"/>
        <v>58194.400000000001</v>
      </c>
      <c r="X32" s="174">
        <f t="shared" si="15"/>
        <v>9479.2000000000007</v>
      </c>
      <c r="Y32" s="174">
        <f t="shared" si="15"/>
        <v>23341.3</v>
      </c>
      <c r="Z32" s="174">
        <f t="shared" si="15"/>
        <v>25373.899999999998</v>
      </c>
      <c r="AA32" s="174">
        <f t="shared" si="15"/>
        <v>34513.699999999997</v>
      </c>
      <c r="AB32" s="174">
        <f t="shared" si="15"/>
        <v>22526.799999999999</v>
      </c>
      <c r="AC32" s="174">
        <f t="shared" si="15"/>
        <v>31054.2</v>
      </c>
      <c r="AD32" s="174">
        <f t="shared" si="15"/>
        <v>36200.500000000007</v>
      </c>
      <c r="AE32" s="174">
        <f t="shared" si="15"/>
        <v>26646.7</v>
      </c>
      <c r="AF32" s="174">
        <f t="shared" si="15"/>
        <v>29217.9</v>
      </c>
      <c r="AG32" s="174">
        <f t="shared" si="15"/>
        <v>35595.1</v>
      </c>
      <c r="AH32" s="174">
        <f t="shared" si="15"/>
        <v>32409.3</v>
      </c>
      <c r="AI32" s="174">
        <f t="shared" si="15"/>
        <v>84436.2</v>
      </c>
      <c r="AJ32" s="174">
        <f t="shared" si="15"/>
        <v>9782.0999999999985</v>
      </c>
      <c r="AK32" s="174">
        <f t="shared" si="15"/>
        <v>19312.3</v>
      </c>
      <c r="AL32" s="174">
        <f t="shared" si="15"/>
        <v>13667.700000000003</v>
      </c>
      <c r="AM32" s="174">
        <f t="shared" si="15"/>
        <v>0</v>
      </c>
      <c r="AN32" s="174">
        <f t="shared" si="15"/>
        <v>0</v>
      </c>
      <c r="AO32" s="174">
        <f t="shared" si="15"/>
        <v>0</v>
      </c>
      <c r="AP32" s="174">
        <f t="shared" si="15"/>
        <v>0</v>
      </c>
      <c r="AQ32" s="174">
        <f t="shared" si="15"/>
        <v>0</v>
      </c>
      <c r="AR32" s="174">
        <f t="shared" si="15"/>
        <v>0</v>
      </c>
      <c r="AS32" s="174">
        <f t="shared" si="15"/>
        <v>0</v>
      </c>
      <c r="AT32" s="174">
        <f t="shared" si="15"/>
        <v>0</v>
      </c>
      <c r="AU32" s="174">
        <f t="shared" si="15"/>
        <v>0</v>
      </c>
      <c r="AV32" s="598">
        <f t="shared" si="15"/>
        <v>42762.1</v>
      </c>
      <c r="AW32" s="174">
        <f t="shared" si="15"/>
        <v>-11706.2</v>
      </c>
      <c r="AX32" s="174">
        <f t="shared" si="15"/>
        <v>-15432.300000000003</v>
      </c>
      <c r="AY32" s="174">
        <f t="shared" si="15"/>
        <v>-15432.300000000003</v>
      </c>
      <c r="AZ32" s="169"/>
      <c r="BA32" s="106"/>
      <c r="BB32" s="187"/>
      <c r="BC32" s="106"/>
      <c r="BD32" s="187"/>
      <c r="BE32" s="187"/>
      <c r="BF32" s="106"/>
      <c r="BG32" s="106"/>
      <c r="BH32" s="106"/>
      <c r="BL32" s="189"/>
      <c r="BQ32" s="189"/>
      <c r="BR32" s="189"/>
    </row>
    <row r="33" spans="1:71" s="631" customFormat="1" ht="28.5" customHeight="1" x14ac:dyDescent="0.25">
      <c r="A33" s="8"/>
      <c r="B33" s="575" t="s">
        <v>30</v>
      </c>
      <c r="C33" s="576"/>
      <c r="D33" s="570" t="e">
        <f t="shared" ref="D33:AY33" si="16">D35+D38+D76+D106+D116+D118+D119+D117</f>
        <v>#REF!</v>
      </c>
      <c r="E33" s="570" t="e">
        <f t="shared" si="16"/>
        <v>#REF!</v>
      </c>
      <c r="F33" s="570" t="e">
        <f t="shared" si="16"/>
        <v>#REF!</v>
      </c>
      <c r="G33" s="570" t="e">
        <f t="shared" si="16"/>
        <v>#REF!</v>
      </c>
      <c r="H33" s="570" t="e">
        <f t="shared" si="16"/>
        <v>#REF!</v>
      </c>
      <c r="I33" s="570" t="e">
        <f t="shared" si="16"/>
        <v>#REF!</v>
      </c>
      <c r="J33" s="570" t="e">
        <f t="shared" si="16"/>
        <v>#REF!</v>
      </c>
      <c r="K33" s="570" t="e">
        <f t="shared" si="16"/>
        <v>#REF!</v>
      </c>
      <c r="L33" s="570" t="e">
        <f t="shared" si="16"/>
        <v>#REF!</v>
      </c>
      <c r="M33" s="570" t="e">
        <f t="shared" si="16"/>
        <v>#REF!</v>
      </c>
      <c r="N33" s="570" t="e">
        <f t="shared" si="16"/>
        <v>#REF!</v>
      </c>
      <c r="O33" s="570" t="e">
        <f t="shared" si="16"/>
        <v>#REF!</v>
      </c>
      <c r="P33" s="570" t="e">
        <f t="shared" si="16"/>
        <v>#REF!</v>
      </c>
      <c r="Q33" s="570" t="e">
        <f t="shared" si="16"/>
        <v>#REF!</v>
      </c>
      <c r="R33" s="570">
        <f t="shared" si="16"/>
        <v>857058.80000000016</v>
      </c>
      <c r="S33" s="570">
        <f t="shared" ref="S33" si="17">S35+S38+S76+S106+S116+S118+S119+S117</f>
        <v>174200.9</v>
      </c>
      <c r="T33" s="570">
        <f t="shared" si="16"/>
        <v>713369.9</v>
      </c>
      <c r="U33" s="570">
        <f t="shared" si="16"/>
        <v>709038.4</v>
      </c>
      <c r="V33" s="570">
        <f t="shared" si="16"/>
        <v>0</v>
      </c>
      <c r="W33" s="570">
        <f t="shared" si="16"/>
        <v>98298.799999999974</v>
      </c>
      <c r="X33" s="570">
        <f t="shared" si="16"/>
        <v>47658.999999999993</v>
      </c>
      <c r="Y33" s="570">
        <f t="shared" si="16"/>
        <v>50639.799999999996</v>
      </c>
      <c r="Z33" s="570">
        <f t="shared" si="16"/>
        <v>0</v>
      </c>
      <c r="AA33" s="570">
        <f t="shared" si="16"/>
        <v>0</v>
      </c>
      <c r="AB33" s="570">
        <f t="shared" si="16"/>
        <v>0</v>
      </c>
      <c r="AC33" s="570">
        <f t="shared" si="16"/>
        <v>0</v>
      </c>
      <c r="AD33" s="570">
        <f t="shared" si="16"/>
        <v>0</v>
      </c>
      <c r="AE33" s="570">
        <f t="shared" si="16"/>
        <v>0</v>
      </c>
      <c r="AF33" s="570">
        <f t="shared" si="16"/>
        <v>0</v>
      </c>
      <c r="AG33" s="570">
        <f t="shared" si="16"/>
        <v>0</v>
      </c>
      <c r="AH33" s="570">
        <f t="shared" si="16"/>
        <v>0</v>
      </c>
      <c r="AI33" s="570">
        <f t="shared" si="16"/>
        <v>0</v>
      </c>
      <c r="AJ33" s="570">
        <f t="shared" si="16"/>
        <v>47658.999999999993</v>
      </c>
      <c r="AK33" s="570">
        <f t="shared" si="16"/>
        <v>50639.799999999996</v>
      </c>
      <c r="AL33" s="570">
        <f t="shared" si="16"/>
        <v>0</v>
      </c>
      <c r="AM33" s="570">
        <f t="shared" si="16"/>
        <v>0</v>
      </c>
      <c r="AN33" s="570">
        <f t="shared" si="16"/>
        <v>0</v>
      </c>
      <c r="AO33" s="570">
        <f t="shared" si="16"/>
        <v>0</v>
      </c>
      <c r="AP33" s="570">
        <f t="shared" si="16"/>
        <v>0</v>
      </c>
      <c r="AQ33" s="570">
        <f t="shared" si="16"/>
        <v>0</v>
      </c>
      <c r="AR33" s="570">
        <f t="shared" si="16"/>
        <v>0</v>
      </c>
      <c r="AS33" s="570">
        <f t="shared" si="16"/>
        <v>0</v>
      </c>
      <c r="AT33" s="570">
        <f t="shared" si="16"/>
        <v>0</v>
      </c>
      <c r="AU33" s="570">
        <f t="shared" si="16"/>
        <v>0</v>
      </c>
      <c r="AV33" s="598">
        <f t="shared" si="16"/>
        <v>98298.799999999974</v>
      </c>
      <c r="AW33" s="570">
        <f t="shared" si="16"/>
        <v>0</v>
      </c>
      <c r="AX33" s="570">
        <f t="shared" si="16"/>
        <v>0</v>
      </c>
      <c r="AY33" s="570">
        <f t="shared" si="16"/>
        <v>0</v>
      </c>
      <c r="AZ33" s="169"/>
      <c r="BA33" s="106"/>
      <c r="BB33" s="187"/>
      <c r="BC33" s="106"/>
      <c r="BD33" s="187"/>
      <c r="BE33" s="187"/>
      <c r="BF33" s="72"/>
      <c r="BQ33" s="72"/>
      <c r="BS33" s="72"/>
    </row>
    <row r="34" spans="1:71" s="631" customFormat="1" ht="29.25" customHeight="1" x14ac:dyDescent="0.25">
      <c r="A34" s="8"/>
      <c r="B34" s="242" t="s">
        <v>291</v>
      </c>
      <c r="C34" s="25"/>
      <c r="D34" s="174" t="e">
        <f t="shared" ref="D34:AY34" si="18">D35+D38+D76+D106</f>
        <v>#REF!</v>
      </c>
      <c r="E34" s="174" t="e">
        <f t="shared" si="18"/>
        <v>#REF!</v>
      </c>
      <c r="F34" s="174" t="e">
        <f t="shared" si="18"/>
        <v>#REF!</v>
      </c>
      <c r="G34" s="174" t="e">
        <f t="shared" si="18"/>
        <v>#REF!</v>
      </c>
      <c r="H34" s="174" t="e">
        <f t="shared" si="18"/>
        <v>#REF!</v>
      </c>
      <c r="I34" s="174" t="e">
        <f t="shared" si="18"/>
        <v>#REF!</v>
      </c>
      <c r="J34" s="174" t="e">
        <f t="shared" si="18"/>
        <v>#REF!</v>
      </c>
      <c r="K34" s="174" t="e">
        <f t="shared" si="18"/>
        <v>#REF!</v>
      </c>
      <c r="L34" s="174" t="e">
        <f t="shared" si="18"/>
        <v>#REF!</v>
      </c>
      <c r="M34" s="174" t="e">
        <f t="shared" si="18"/>
        <v>#REF!</v>
      </c>
      <c r="N34" s="174" t="e">
        <f t="shared" si="18"/>
        <v>#REF!</v>
      </c>
      <c r="O34" s="174" t="e">
        <f t="shared" si="18"/>
        <v>#REF!</v>
      </c>
      <c r="P34" s="174" t="e">
        <f t="shared" si="18"/>
        <v>#REF!</v>
      </c>
      <c r="Q34" s="174" t="e">
        <f t="shared" si="18"/>
        <v>#REF!</v>
      </c>
      <c r="R34" s="570">
        <f t="shared" si="18"/>
        <v>856919.90000000014</v>
      </c>
      <c r="S34" s="174">
        <f t="shared" ref="S34" si="19">S35+S38+S76+S106</f>
        <v>174062</v>
      </c>
      <c r="T34" s="174">
        <f t="shared" si="18"/>
        <v>713369.9</v>
      </c>
      <c r="U34" s="174">
        <f t="shared" si="18"/>
        <v>712117.70000000007</v>
      </c>
      <c r="V34" s="174">
        <f t="shared" si="18"/>
        <v>0</v>
      </c>
      <c r="W34" s="174">
        <f t="shared" si="18"/>
        <v>101063.59999999998</v>
      </c>
      <c r="X34" s="174">
        <f t="shared" si="18"/>
        <v>50738.299999999996</v>
      </c>
      <c r="Y34" s="174">
        <f t="shared" si="18"/>
        <v>50325.299999999996</v>
      </c>
      <c r="Z34" s="174">
        <f t="shared" si="18"/>
        <v>0</v>
      </c>
      <c r="AA34" s="174">
        <f t="shared" si="18"/>
        <v>0</v>
      </c>
      <c r="AB34" s="174">
        <f t="shared" si="18"/>
        <v>0</v>
      </c>
      <c r="AC34" s="174">
        <f t="shared" si="18"/>
        <v>0</v>
      </c>
      <c r="AD34" s="174">
        <f t="shared" si="18"/>
        <v>0</v>
      </c>
      <c r="AE34" s="174">
        <f t="shared" si="18"/>
        <v>0</v>
      </c>
      <c r="AF34" s="174">
        <f t="shared" si="18"/>
        <v>0</v>
      </c>
      <c r="AG34" s="174">
        <f t="shared" si="18"/>
        <v>0</v>
      </c>
      <c r="AH34" s="174">
        <f t="shared" si="18"/>
        <v>0</v>
      </c>
      <c r="AI34" s="174">
        <f t="shared" si="18"/>
        <v>0</v>
      </c>
      <c r="AJ34" s="174">
        <f t="shared" si="18"/>
        <v>50738.299999999996</v>
      </c>
      <c r="AK34" s="174">
        <f t="shared" si="18"/>
        <v>50325.299999999996</v>
      </c>
      <c r="AL34" s="174">
        <f t="shared" si="18"/>
        <v>0</v>
      </c>
      <c r="AM34" s="174">
        <f t="shared" si="18"/>
        <v>0</v>
      </c>
      <c r="AN34" s="174">
        <f t="shared" si="18"/>
        <v>0</v>
      </c>
      <c r="AO34" s="174">
        <f t="shared" si="18"/>
        <v>0</v>
      </c>
      <c r="AP34" s="174">
        <f t="shared" si="18"/>
        <v>0</v>
      </c>
      <c r="AQ34" s="174">
        <f t="shared" si="18"/>
        <v>0</v>
      </c>
      <c r="AR34" s="174">
        <f t="shared" si="18"/>
        <v>0</v>
      </c>
      <c r="AS34" s="174">
        <f t="shared" si="18"/>
        <v>0</v>
      </c>
      <c r="AT34" s="174">
        <f t="shared" si="18"/>
        <v>0</v>
      </c>
      <c r="AU34" s="174">
        <f t="shared" si="18"/>
        <v>0</v>
      </c>
      <c r="AV34" s="598">
        <f t="shared" si="18"/>
        <v>101063.59999999998</v>
      </c>
      <c r="AW34" s="174">
        <f t="shared" si="18"/>
        <v>0</v>
      </c>
      <c r="AX34" s="174">
        <f t="shared" si="18"/>
        <v>0</v>
      </c>
      <c r="AY34" s="174">
        <f t="shared" si="18"/>
        <v>0</v>
      </c>
      <c r="AZ34" s="170"/>
      <c r="BA34" s="174"/>
      <c r="BB34" s="347"/>
      <c r="BC34" s="174"/>
      <c r="BD34" s="186"/>
      <c r="BE34" s="186"/>
      <c r="BG34" s="72"/>
      <c r="BH34" s="72"/>
      <c r="BS34" s="72"/>
    </row>
    <row r="35" spans="1:71" s="631" customFormat="1" ht="18.75" customHeight="1" x14ac:dyDescent="0.25">
      <c r="A35" s="8"/>
      <c r="B35" s="587" t="s">
        <v>111</v>
      </c>
      <c r="C35" s="588"/>
      <c r="D35" s="570">
        <f t="shared" ref="D35:AY35" si="20">D36+D37</f>
        <v>310018.5</v>
      </c>
      <c r="E35" s="570">
        <f t="shared" si="20"/>
        <v>310018.5</v>
      </c>
      <c r="F35" s="570">
        <f t="shared" si="20"/>
        <v>24543.200000000001</v>
      </c>
      <c r="G35" s="570">
        <f t="shared" si="20"/>
        <v>24543.200000000001</v>
      </c>
      <c r="H35" s="570">
        <f t="shared" si="20"/>
        <v>24543</v>
      </c>
      <c r="I35" s="570">
        <f t="shared" si="20"/>
        <v>49086.400000000001</v>
      </c>
      <c r="J35" s="570">
        <f t="shared" si="20"/>
        <v>0</v>
      </c>
      <c r="K35" s="570">
        <f t="shared" si="20"/>
        <v>24543</v>
      </c>
      <c r="L35" s="570">
        <f t="shared" si="20"/>
        <v>20667.900000000001</v>
      </c>
      <c r="M35" s="570">
        <f t="shared" si="20"/>
        <v>20667.900000000001</v>
      </c>
      <c r="N35" s="570">
        <f t="shared" si="20"/>
        <v>20667.900000000001</v>
      </c>
      <c r="O35" s="570">
        <f t="shared" si="20"/>
        <v>23251.4</v>
      </c>
      <c r="P35" s="570">
        <f t="shared" si="20"/>
        <v>23251.4</v>
      </c>
      <c r="Q35" s="570">
        <f t="shared" si="20"/>
        <v>23251.3</v>
      </c>
      <c r="R35" s="570">
        <f t="shared" si="20"/>
        <v>279016.59999999998</v>
      </c>
      <c r="S35" s="570">
        <f t="shared" ref="S35" si="21">S36+S37</f>
        <v>73629.399999999994</v>
      </c>
      <c r="T35" s="570">
        <f t="shared" si="20"/>
        <v>291651.5</v>
      </c>
      <c r="U35" s="570">
        <f t="shared" si="20"/>
        <v>291651.5</v>
      </c>
      <c r="V35" s="570">
        <f t="shared" si="20"/>
        <v>0</v>
      </c>
      <c r="W35" s="570">
        <f>W36+W37</f>
        <v>46178</v>
      </c>
      <c r="X35" s="570">
        <f t="shared" si="20"/>
        <v>23089</v>
      </c>
      <c r="Y35" s="570">
        <f t="shared" si="20"/>
        <v>23089</v>
      </c>
      <c r="Z35" s="570">
        <f t="shared" si="20"/>
        <v>0</v>
      </c>
      <c r="AA35" s="570">
        <f t="shared" si="20"/>
        <v>0</v>
      </c>
      <c r="AB35" s="570">
        <f t="shared" si="20"/>
        <v>0</v>
      </c>
      <c r="AC35" s="570">
        <f t="shared" si="20"/>
        <v>0</v>
      </c>
      <c r="AD35" s="570">
        <f t="shared" si="20"/>
        <v>0</v>
      </c>
      <c r="AE35" s="570">
        <f t="shared" si="20"/>
        <v>0</v>
      </c>
      <c r="AF35" s="570">
        <f t="shared" si="20"/>
        <v>0</v>
      </c>
      <c r="AG35" s="570">
        <f t="shared" si="20"/>
        <v>0</v>
      </c>
      <c r="AH35" s="570">
        <f t="shared" si="20"/>
        <v>0</v>
      </c>
      <c r="AI35" s="570">
        <f t="shared" si="20"/>
        <v>0</v>
      </c>
      <c r="AJ35" s="570">
        <f t="shared" si="20"/>
        <v>23089</v>
      </c>
      <c r="AK35" s="570">
        <f t="shared" si="20"/>
        <v>23089</v>
      </c>
      <c r="AL35" s="570">
        <f t="shared" si="20"/>
        <v>0</v>
      </c>
      <c r="AM35" s="570">
        <f t="shared" si="20"/>
        <v>0</v>
      </c>
      <c r="AN35" s="570">
        <f t="shared" si="20"/>
        <v>0</v>
      </c>
      <c r="AO35" s="570">
        <f t="shared" si="20"/>
        <v>0</v>
      </c>
      <c r="AP35" s="570">
        <f t="shared" si="20"/>
        <v>0</v>
      </c>
      <c r="AQ35" s="570">
        <f t="shared" si="20"/>
        <v>0</v>
      </c>
      <c r="AR35" s="570">
        <f t="shared" si="20"/>
        <v>0</v>
      </c>
      <c r="AS35" s="570">
        <f t="shared" si="20"/>
        <v>0</v>
      </c>
      <c r="AT35" s="570">
        <f t="shared" si="20"/>
        <v>0</v>
      </c>
      <c r="AU35" s="570">
        <f t="shared" si="20"/>
        <v>0</v>
      </c>
      <c r="AV35" s="598">
        <f t="shared" si="20"/>
        <v>46178</v>
      </c>
      <c r="AW35" s="570">
        <f t="shared" si="20"/>
        <v>0</v>
      </c>
      <c r="AX35" s="570">
        <f t="shared" si="20"/>
        <v>0</v>
      </c>
      <c r="AY35" s="570">
        <f t="shared" si="20"/>
        <v>0</v>
      </c>
      <c r="AZ35" s="169"/>
      <c r="BA35" s="106"/>
      <c r="BB35" s="187"/>
      <c r="BC35" s="187"/>
      <c r="BD35" s="187"/>
      <c r="BE35" s="187"/>
      <c r="BG35" s="72"/>
      <c r="BH35" s="72"/>
    </row>
    <row r="36" spans="1:71" s="631" customFormat="1" ht="30" outlineLevel="7" x14ac:dyDescent="0.25">
      <c r="A36" s="8" t="s">
        <v>31</v>
      </c>
      <c r="B36" s="9" t="s">
        <v>113</v>
      </c>
      <c r="C36" s="10"/>
      <c r="D36" s="335">
        <v>261984.8</v>
      </c>
      <c r="E36" s="335">
        <v>261984.8</v>
      </c>
      <c r="F36" s="176">
        <v>20740.5</v>
      </c>
      <c r="G36" s="176">
        <v>20740.5</v>
      </c>
      <c r="H36" s="176">
        <v>20740.400000000001</v>
      </c>
      <c r="I36" s="176">
        <f>20740.5*2</f>
        <v>41481</v>
      </c>
      <c r="J36" s="176"/>
      <c r="K36" s="176">
        <v>20740.400000000001</v>
      </c>
      <c r="L36" s="176">
        <v>17465.7</v>
      </c>
      <c r="M36" s="176">
        <v>17465.7</v>
      </c>
      <c r="N36" s="176">
        <v>17465.5</v>
      </c>
      <c r="O36" s="176">
        <v>19648.900000000001</v>
      </c>
      <c r="P36" s="176">
        <v>19648.900000000001</v>
      </c>
      <c r="Q36" s="176">
        <v>19648.8</v>
      </c>
      <c r="R36" s="586">
        <f>SUM(F36:Q36)</f>
        <v>235786.3</v>
      </c>
      <c r="S36" s="335">
        <f t="shared" si="1"/>
        <v>62221.4</v>
      </c>
      <c r="T36" s="337">
        <v>260156.79999999999</v>
      </c>
      <c r="U36" s="337">
        <f t="shared" si="2"/>
        <v>260156.79999999999</v>
      </c>
      <c r="V36" s="337"/>
      <c r="W36" s="337">
        <f>AV36</f>
        <v>41191.4</v>
      </c>
      <c r="X36" s="571">
        <v>20595.7</v>
      </c>
      <c r="Y36" s="335">
        <f>AK36</f>
        <v>20595.7</v>
      </c>
      <c r="Z36" s="335"/>
      <c r="AA36" s="335"/>
      <c r="AB36" s="335"/>
      <c r="AC36" s="335"/>
      <c r="AD36" s="335"/>
      <c r="AE36" s="335"/>
      <c r="AF36" s="335"/>
      <c r="AG36" s="335"/>
      <c r="AH36" s="335"/>
      <c r="AI36" s="335"/>
      <c r="AJ36" s="571">
        <v>20595.7</v>
      </c>
      <c r="AK36" s="571">
        <v>20595.7</v>
      </c>
      <c r="AL36" s="566"/>
      <c r="AM36" s="566"/>
      <c r="AN36" s="566"/>
      <c r="AO36" s="566"/>
      <c r="AP36" s="566"/>
      <c r="AQ36" s="566"/>
      <c r="AR36" s="566"/>
      <c r="AS36" s="566"/>
      <c r="AT36" s="566"/>
      <c r="AU36" s="566"/>
      <c r="AV36" s="602">
        <f t="shared" si="5"/>
        <v>41191.4</v>
      </c>
      <c r="AW36" s="337"/>
      <c r="AX36" s="337"/>
      <c r="AY36" s="337"/>
      <c r="AZ36" s="170"/>
      <c r="BA36" s="102"/>
      <c r="BB36" s="186"/>
      <c r="BC36" s="186"/>
      <c r="BD36" s="186"/>
      <c r="BE36" s="186"/>
      <c r="BG36" s="72"/>
      <c r="BI36" s="72"/>
    </row>
    <row r="37" spans="1:71" s="631" customFormat="1" ht="45" outlineLevel="7" x14ac:dyDescent="0.25">
      <c r="A37" s="8" t="s">
        <v>32</v>
      </c>
      <c r="B37" s="9" t="s">
        <v>114</v>
      </c>
      <c r="C37" s="10"/>
      <c r="D37" s="335">
        <v>48033.7</v>
      </c>
      <c r="E37" s="335">
        <v>48033.7</v>
      </c>
      <c r="F37" s="176">
        <v>3802.7</v>
      </c>
      <c r="G37" s="176">
        <v>3802.7</v>
      </c>
      <c r="H37" s="176">
        <v>3802.6</v>
      </c>
      <c r="I37" s="176">
        <f>3802.7+3802.7</f>
        <v>7605.4</v>
      </c>
      <c r="J37" s="176"/>
      <c r="K37" s="176">
        <v>3802.6</v>
      </c>
      <c r="L37" s="176">
        <v>3202.2</v>
      </c>
      <c r="M37" s="176">
        <v>3202.2</v>
      </c>
      <c r="N37" s="176">
        <v>3202.4</v>
      </c>
      <c r="O37" s="176">
        <v>3602.5</v>
      </c>
      <c r="P37" s="176">
        <v>3602.5</v>
      </c>
      <c r="Q37" s="176">
        <v>3602.5</v>
      </c>
      <c r="R37" s="586">
        <f>SUM(F37:Q37)</f>
        <v>43230.3</v>
      </c>
      <c r="S37" s="335">
        <f t="shared" si="1"/>
        <v>11408</v>
      </c>
      <c r="T37" s="337">
        <v>31494.7</v>
      </c>
      <c r="U37" s="337">
        <f t="shared" si="2"/>
        <v>31494.7</v>
      </c>
      <c r="V37" s="337"/>
      <c r="W37" s="337">
        <f>AV37</f>
        <v>4986.6000000000004</v>
      </c>
      <c r="X37" s="571">
        <v>2493.3000000000002</v>
      </c>
      <c r="Y37" s="335">
        <f>AK37</f>
        <v>2493.3000000000002</v>
      </c>
      <c r="Z37" s="335"/>
      <c r="AA37" s="335"/>
      <c r="AB37" s="335"/>
      <c r="AC37" s="335"/>
      <c r="AD37" s="335"/>
      <c r="AE37" s="335"/>
      <c r="AF37" s="335"/>
      <c r="AG37" s="335"/>
      <c r="AH37" s="335"/>
      <c r="AI37" s="335"/>
      <c r="AJ37" s="571">
        <v>2493.3000000000002</v>
      </c>
      <c r="AK37" s="571">
        <v>2493.3000000000002</v>
      </c>
      <c r="AL37" s="566"/>
      <c r="AM37" s="566"/>
      <c r="AN37" s="566"/>
      <c r="AO37" s="566"/>
      <c r="AP37" s="566"/>
      <c r="AQ37" s="566"/>
      <c r="AR37" s="566"/>
      <c r="AS37" s="566"/>
      <c r="AT37" s="566"/>
      <c r="AU37" s="566"/>
      <c r="AV37" s="602">
        <f t="shared" si="5"/>
        <v>4986.6000000000004</v>
      </c>
      <c r="AW37" s="337"/>
      <c r="AX37" s="337"/>
      <c r="AY37" s="337"/>
      <c r="AZ37" s="170"/>
      <c r="BA37" s="102"/>
      <c r="BB37" s="186"/>
      <c r="BC37" s="186"/>
      <c r="BD37" s="186"/>
      <c r="BE37" s="186"/>
    </row>
    <row r="38" spans="1:71" s="631" customFormat="1" ht="23.25" outlineLevel="2" x14ac:dyDescent="0.25">
      <c r="A38" s="8" t="s">
        <v>33</v>
      </c>
      <c r="B38" s="587" t="s">
        <v>112</v>
      </c>
      <c r="C38" s="588"/>
      <c r="D38" s="570">
        <f>SUM(D42:D75)+D39</f>
        <v>43847</v>
      </c>
      <c r="E38" s="570">
        <f t="shared" ref="E38:R38" si="22">SUM(E42:E75)+E39+E40+E41</f>
        <v>132413.1</v>
      </c>
      <c r="F38" s="570">
        <f t="shared" si="22"/>
        <v>205.9</v>
      </c>
      <c r="G38" s="570">
        <f t="shared" si="22"/>
        <v>933.9</v>
      </c>
      <c r="H38" s="570">
        <f t="shared" si="22"/>
        <v>2780.7999999999997</v>
      </c>
      <c r="I38" s="570">
        <f t="shared" si="22"/>
        <v>8283.5</v>
      </c>
      <c r="J38" s="570">
        <f t="shared" si="22"/>
        <v>10927.900000000001</v>
      </c>
      <c r="K38" s="570">
        <f t="shared" si="22"/>
        <v>8873.8000000000011</v>
      </c>
      <c r="L38" s="570">
        <f t="shared" si="22"/>
        <v>13609.3</v>
      </c>
      <c r="M38" s="570">
        <f t="shared" si="22"/>
        <v>10270.700000000001</v>
      </c>
      <c r="N38" s="570">
        <f t="shared" si="22"/>
        <v>18748.3</v>
      </c>
      <c r="O38" s="570">
        <f t="shared" si="22"/>
        <v>21964.1</v>
      </c>
      <c r="P38" s="570">
        <f t="shared" si="22"/>
        <v>4121.1000000000004</v>
      </c>
      <c r="Q38" s="570">
        <f t="shared" si="22"/>
        <v>25519.1</v>
      </c>
      <c r="R38" s="570">
        <f t="shared" si="22"/>
        <v>126238.39999999999</v>
      </c>
      <c r="S38" s="570">
        <f t="shared" ref="S38:AY38" si="23">SUM(S42:S75)+S39+S40+S41</f>
        <v>3920.6</v>
      </c>
      <c r="T38" s="570">
        <f t="shared" si="23"/>
        <v>38096.099999999991</v>
      </c>
      <c r="U38" s="570">
        <f t="shared" si="23"/>
        <v>35927.9</v>
      </c>
      <c r="V38" s="570">
        <f t="shared" si="23"/>
        <v>0</v>
      </c>
      <c r="W38" s="570">
        <f t="shared" si="23"/>
        <v>426</v>
      </c>
      <c r="X38" s="570">
        <f t="shared" si="23"/>
        <v>213</v>
      </c>
      <c r="Y38" s="570">
        <f t="shared" si="23"/>
        <v>213</v>
      </c>
      <c r="Z38" s="570">
        <f t="shared" si="23"/>
        <v>0</v>
      </c>
      <c r="AA38" s="570">
        <f t="shared" si="23"/>
        <v>0</v>
      </c>
      <c r="AB38" s="570">
        <f t="shared" si="23"/>
        <v>0</v>
      </c>
      <c r="AC38" s="570">
        <f t="shared" si="23"/>
        <v>0</v>
      </c>
      <c r="AD38" s="570">
        <f t="shared" si="23"/>
        <v>0</v>
      </c>
      <c r="AE38" s="570">
        <f t="shared" si="23"/>
        <v>0</v>
      </c>
      <c r="AF38" s="570">
        <f t="shared" si="23"/>
        <v>0</v>
      </c>
      <c r="AG38" s="570">
        <f t="shared" si="23"/>
        <v>0</v>
      </c>
      <c r="AH38" s="570">
        <f t="shared" si="23"/>
        <v>0</v>
      </c>
      <c r="AI38" s="570">
        <f t="shared" si="23"/>
        <v>0</v>
      </c>
      <c r="AJ38" s="570">
        <f t="shared" si="23"/>
        <v>213</v>
      </c>
      <c r="AK38" s="570">
        <f t="shared" si="23"/>
        <v>213</v>
      </c>
      <c r="AL38" s="570">
        <f t="shared" si="23"/>
        <v>0</v>
      </c>
      <c r="AM38" s="570">
        <f t="shared" si="23"/>
        <v>0</v>
      </c>
      <c r="AN38" s="570">
        <f t="shared" si="23"/>
        <v>0</v>
      </c>
      <c r="AO38" s="570">
        <f t="shared" si="23"/>
        <v>0</v>
      </c>
      <c r="AP38" s="570">
        <f t="shared" si="23"/>
        <v>0</v>
      </c>
      <c r="AQ38" s="570">
        <f t="shared" si="23"/>
        <v>0</v>
      </c>
      <c r="AR38" s="570">
        <f t="shared" si="23"/>
        <v>0</v>
      </c>
      <c r="AS38" s="570">
        <f t="shared" si="23"/>
        <v>0</v>
      </c>
      <c r="AT38" s="570">
        <f t="shared" si="23"/>
        <v>0</v>
      </c>
      <c r="AU38" s="570">
        <f t="shared" si="23"/>
        <v>0</v>
      </c>
      <c r="AV38" s="598">
        <f t="shared" si="23"/>
        <v>426</v>
      </c>
      <c r="AW38" s="570">
        <f t="shared" si="23"/>
        <v>0</v>
      </c>
      <c r="AX38" s="570">
        <f t="shared" ref="AX38" si="24">SUM(AX42:AX75)+AX39+AX40+AX41</f>
        <v>0</v>
      </c>
      <c r="AY38" s="570">
        <f t="shared" si="23"/>
        <v>0</v>
      </c>
      <c r="AZ38" s="169"/>
      <c r="BA38" s="106"/>
      <c r="BB38" s="187"/>
      <c r="BC38" s="106"/>
      <c r="BD38" s="187"/>
      <c r="BE38" s="187"/>
      <c r="BG38" s="72"/>
    </row>
    <row r="39" spans="1:71" s="19" customFormat="1" ht="45" hidden="1" outlineLevel="2" x14ac:dyDescent="0.25">
      <c r="A39" s="18"/>
      <c r="B39" s="9" t="s">
        <v>250</v>
      </c>
      <c r="C39" s="20" t="s">
        <v>249</v>
      </c>
      <c r="D39" s="335">
        <v>0</v>
      </c>
      <c r="E39" s="170">
        <v>0</v>
      </c>
      <c r="F39" s="176"/>
      <c r="G39" s="174"/>
      <c r="H39" s="176"/>
      <c r="I39" s="176"/>
      <c r="J39" s="176"/>
      <c r="K39" s="176"/>
      <c r="L39" s="174"/>
      <c r="M39" s="176"/>
      <c r="N39" s="176"/>
      <c r="O39" s="176"/>
      <c r="P39" s="176"/>
      <c r="Q39" s="176"/>
      <c r="R39" s="586">
        <f t="shared" ref="R39:R75" si="25">SUM(F39:Q39)</f>
        <v>0</v>
      </c>
      <c r="S39" s="335">
        <f t="shared" si="1"/>
        <v>0</v>
      </c>
      <c r="T39" s="337"/>
      <c r="U39" s="337">
        <f t="shared" si="2"/>
        <v>0</v>
      </c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566"/>
      <c r="AK39" s="566"/>
      <c r="AL39" s="566"/>
      <c r="AM39" s="566"/>
      <c r="AN39" s="566"/>
      <c r="AO39" s="566"/>
      <c r="AP39" s="566"/>
      <c r="AQ39" s="566"/>
      <c r="AR39" s="566"/>
      <c r="AS39" s="566"/>
      <c r="AT39" s="566"/>
      <c r="AU39" s="566"/>
      <c r="AV39" s="602">
        <f t="shared" si="5"/>
        <v>0</v>
      </c>
      <c r="AW39" s="337"/>
      <c r="AX39" s="337"/>
      <c r="AY39" s="337"/>
      <c r="AZ39" s="99"/>
      <c r="BA39" s="102"/>
      <c r="BB39" s="186"/>
      <c r="BC39" s="186"/>
      <c r="BD39" s="186"/>
      <c r="BE39" s="186"/>
    </row>
    <row r="40" spans="1:71" s="19" customFormat="1" ht="60" hidden="1" outlineLevel="2" x14ac:dyDescent="0.25">
      <c r="A40" s="18"/>
      <c r="B40" s="9" t="s">
        <v>649</v>
      </c>
      <c r="C40" s="20" t="s">
        <v>93</v>
      </c>
      <c r="D40" s="335"/>
      <c r="E40" s="170">
        <v>444.8</v>
      </c>
      <c r="F40" s="176"/>
      <c r="G40" s="174"/>
      <c r="H40" s="176"/>
      <c r="I40" s="176"/>
      <c r="J40" s="176"/>
      <c r="K40" s="176"/>
      <c r="L40" s="174"/>
      <c r="M40" s="176"/>
      <c r="N40" s="176"/>
      <c r="O40" s="176"/>
      <c r="P40" s="176"/>
      <c r="Q40" s="176">
        <v>444.8</v>
      </c>
      <c r="R40" s="586">
        <f t="shared" si="25"/>
        <v>444.8</v>
      </c>
      <c r="S40" s="335">
        <f t="shared" si="1"/>
        <v>0</v>
      </c>
      <c r="T40" s="337"/>
      <c r="U40" s="337">
        <f t="shared" si="2"/>
        <v>0</v>
      </c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566"/>
      <c r="AK40" s="566"/>
      <c r="AL40" s="566"/>
      <c r="AM40" s="566"/>
      <c r="AN40" s="566"/>
      <c r="AO40" s="566"/>
      <c r="AP40" s="566"/>
      <c r="AQ40" s="566"/>
      <c r="AR40" s="566"/>
      <c r="AS40" s="566"/>
      <c r="AT40" s="566"/>
      <c r="AU40" s="566"/>
      <c r="AV40" s="602">
        <f t="shared" si="5"/>
        <v>0</v>
      </c>
      <c r="AW40" s="337"/>
      <c r="AX40" s="337"/>
      <c r="AY40" s="337"/>
      <c r="AZ40" s="99"/>
      <c r="BA40" s="102"/>
      <c r="BB40" s="186"/>
      <c r="BC40" s="186"/>
      <c r="BD40" s="186"/>
      <c r="BE40" s="186"/>
    </row>
    <row r="41" spans="1:71" s="19" customFormat="1" ht="60" hidden="1" outlineLevel="2" x14ac:dyDescent="0.25">
      <c r="A41" s="18"/>
      <c r="B41" s="9" t="s">
        <v>650</v>
      </c>
      <c r="C41" s="20" t="s">
        <v>201</v>
      </c>
      <c r="D41" s="335"/>
      <c r="E41" s="170">
        <v>148.19999999999999</v>
      </c>
      <c r="F41" s="176"/>
      <c r="G41" s="174"/>
      <c r="H41" s="176"/>
      <c r="I41" s="176"/>
      <c r="J41" s="176"/>
      <c r="K41" s="176"/>
      <c r="L41" s="174"/>
      <c r="M41" s="176"/>
      <c r="N41" s="176"/>
      <c r="O41" s="176"/>
      <c r="P41" s="176"/>
      <c r="Q41" s="176">
        <v>148.19999999999999</v>
      </c>
      <c r="R41" s="586">
        <f t="shared" si="25"/>
        <v>148.19999999999999</v>
      </c>
      <c r="S41" s="335">
        <f t="shared" si="1"/>
        <v>0</v>
      </c>
      <c r="T41" s="337"/>
      <c r="U41" s="337">
        <f t="shared" si="2"/>
        <v>0</v>
      </c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566"/>
      <c r="AK41" s="566"/>
      <c r="AL41" s="566"/>
      <c r="AM41" s="566"/>
      <c r="AN41" s="566"/>
      <c r="AO41" s="566"/>
      <c r="AP41" s="566"/>
      <c r="AQ41" s="566"/>
      <c r="AR41" s="566"/>
      <c r="AS41" s="566"/>
      <c r="AT41" s="566"/>
      <c r="AU41" s="566"/>
      <c r="AV41" s="602">
        <f t="shared" si="5"/>
        <v>0</v>
      </c>
      <c r="AW41" s="337"/>
      <c r="AX41" s="337"/>
      <c r="AY41" s="337"/>
      <c r="AZ41" s="99"/>
      <c r="BA41" s="102"/>
      <c r="BB41" s="186"/>
      <c r="BC41" s="186"/>
      <c r="BD41" s="186"/>
      <c r="BE41" s="186"/>
    </row>
    <row r="42" spans="1:71" s="19" customFormat="1" ht="34.5" hidden="1" customHeight="1" outlineLevel="2" x14ac:dyDescent="0.25">
      <c r="A42" s="18"/>
      <c r="B42" s="9" t="s">
        <v>287</v>
      </c>
      <c r="C42" s="20" t="s">
        <v>272</v>
      </c>
      <c r="D42" s="335">
        <v>0</v>
      </c>
      <c r="E42" s="170">
        <v>11030.2</v>
      </c>
      <c r="F42" s="176"/>
      <c r="G42" s="174"/>
      <c r="H42" s="176"/>
      <c r="I42" s="176"/>
      <c r="J42" s="176"/>
      <c r="K42" s="176"/>
      <c r="L42" s="174"/>
      <c r="M42" s="176"/>
      <c r="N42" s="176">
        <v>7851.4</v>
      </c>
      <c r="O42" s="176">
        <v>2675.2</v>
      </c>
      <c r="P42" s="176"/>
      <c r="Q42" s="176">
        <v>503.2</v>
      </c>
      <c r="R42" s="586">
        <f t="shared" si="25"/>
        <v>11029.8</v>
      </c>
      <c r="S42" s="335">
        <f t="shared" si="1"/>
        <v>0</v>
      </c>
      <c r="T42" s="337"/>
      <c r="U42" s="337">
        <f t="shared" si="2"/>
        <v>0</v>
      </c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566"/>
      <c r="AK42" s="566"/>
      <c r="AL42" s="566"/>
      <c r="AM42" s="566"/>
      <c r="AN42" s="566"/>
      <c r="AO42" s="566"/>
      <c r="AP42" s="566"/>
      <c r="AQ42" s="566"/>
      <c r="AR42" s="566"/>
      <c r="AS42" s="566"/>
      <c r="AT42" s="566"/>
      <c r="AU42" s="566"/>
      <c r="AV42" s="602">
        <f t="shared" si="5"/>
        <v>0</v>
      </c>
      <c r="AW42" s="337"/>
      <c r="AX42" s="337"/>
      <c r="AY42" s="337"/>
      <c r="AZ42" s="99"/>
      <c r="BA42" s="102"/>
      <c r="BB42" s="186"/>
      <c r="BC42" s="186"/>
      <c r="BD42" s="186"/>
      <c r="BE42" s="186"/>
    </row>
    <row r="43" spans="1:71" s="19" customFormat="1" ht="75" hidden="1" customHeight="1" outlineLevel="2" x14ac:dyDescent="0.25">
      <c r="A43" s="18"/>
      <c r="B43" s="21" t="s">
        <v>445</v>
      </c>
      <c r="C43" s="20" t="s">
        <v>137</v>
      </c>
      <c r="D43" s="335">
        <v>0</v>
      </c>
      <c r="E43" s="170">
        <v>2166.1999999999998</v>
      </c>
      <c r="F43" s="176"/>
      <c r="G43" s="174"/>
      <c r="H43" s="176"/>
      <c r="I43" s="176"/>
      <c r="J43" s="176"/>
      <c r="K43" s="176"/>
      <c r="L43" s="174"/>
      <c r="M43" s="176"/>
      <c r="N43" s="176">
        <v>991.5</v>
      </c>
      <c r="O43" s="176">
        <v>1174.7</v>
      </c>
      <c r="P43" s="176"/>
      <c r="Q43" s="176"/>
      <c r="R43" s="586">
        <f t="shared" si="25"/>
        <v>2166.1999999999998</v>
      </c>
      <c r="S43" s="335">
        <f t="shared" si="1"/>
        <v>0</v>
      </c>
      <c r="T43" s="337"/>
      <c r="U43" s="337">
        <f t="shared" si="2"/>
        <v>0</v>
      </c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566"/>
      <c r="AK43" s="566"/>
      <c r="AL43" s="566"/>
      <c r="AM43" s="566"/>
      <c r="AN43" s="566"/>
      <c r="AO43" s="566"/>
      <c r="AP43" s="566"/>
      <c r="AQ43" s="566"/>
      <c r="AR43" s="566"/>
      <c r="AS43" s="566"/>
      <c r="AT43" s="566"/>
      <c r="AU43" s="566"/>
      <c r="AV43" s="602">
        <f t="shared" si="5"/>
        <v>0</v>
      </c>
      <c r="AW43" s="337"/>
      <c r="AX43" s="337"/>
      <c r="AY43" s="337"/>
      <c r="AZ43" s="99"/>
      <c r="BA43" s="102"/>
      <c r="BB43" s="186"/>
      <c r="BC43" s="186"/>
      <c r="BD43" s="186"/>
      <c r="BE43" s="186"/>
    </row>
    <row r="44" spans="1:71" s="19" customFormat="1" ht="62.25" hidden="1" customHeight="1" outlineLevel="2" x14ac:dyDescent="0.25">
      <c r="A44" s="18"/>
      <c r="B44" s="21" t="s">
        <v>280</v>
      </c>
      <c r="C44" s="20" t="s">
        <v>34</v>
      </c>
      <c r="D44" s="335">
        <v>1496.7</v>
      </c>
      <c r="E44" s="170">
        <v>2566.5</v>
      </c>
      <c r="F44" s="176"/>
      <c r="G44" s="174"/>
      <c r="H44" s="176"/>
      <c r="I44" s="176"/>
      <c r="J44" s="176">
        <v>3072.5</v>
      </c>
      <c r="K44" s="176">
        <v>1551.9</v>
      </c>
      <c r="L44" s="174"/>
      <c r="M44" s="176"/>
      <c r="N44" s="176">
        <f>-2057.8+1174.7</f>
        <v>-883.10000000000014</v>
      </c>
      <c r="O44" s="176">
        <v>-1174.8</v>
      </c>
      <c r="P44" s="176"/>
      <c r="Q44" s="176"/>
      <c r="R44" s="586">
        <f t="shared" si="25"/>
        <v>2566.4999999999991</v>
      </c>
      <c r="S44" s="335">
        <f t="shared" si="1"/>
        <v>0</v>
      </c>
      <c r="T44" s="337"/>
      <c r="U44" s="337">
        <f t="shared" si="2"/>
        <v>0</v>
      </c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566"/>
      <c r="AK44" s="566"/>
      <c r="AL44" s="566"/>
      <c r="AM44" s="566"/>
      <c r="AN44" s="566"/>
      <c r="AO44" s="566"/>
      <c r="AP44" s="566"/>
      <c r="AQ44" s="566"/>
      <c r="AR44" s="566"/>
      <c r="AS44" s="566"/>
      <c r="AT44" s="566"/>
      <c r="AU44" s="566"/>
      <c r="AV44" s="602">
        <f t="shared" si="5"/>
        <v>0</v>
      </c>
      <c r="AW44" s="337"/>
      <c r="AX44" s="337"/>
      <c r="AY44" s="337"/>
      <c r="AZ44" s="99"/>
      <c r="BA44" s="102"/>
      <c r="BB44" s="186"/>
      <c r="BC44" s="186"/>
      <c r="BD44" s="186"/>
      <c r="BE44" s="186"/>
    </row>
    <row r="45" spans="1:71" s="19" customFormat="1" ht="59.25" hidden="1" customHeight="1" outlineLevel="2" x14ac:dyDescent="0.25">
      <c r="A45" s="18"/>
      <c r="B45" s="9" t="s">
        <v>579</v>
      </c>
      <c r="C45" s="20" t="s">
        <v>580</v>
      </c>
      <c r="D45" s="335"/>
      <c r="E45" s="170">
        <v>3504</v>
      </c>
      <c r="F45" s="176"/>
      <c r="G45" s="174"/>
      <c r="H45" s="176"/>
      <c r="I45" s="176"/>
      <c r="J45" s="176"/>
      <c r="K45" s="176"/>
      <c r="L45" s="174"/>
      <c r="M45" s="176"/>
      <c r="N45" s="176"/>
      <c r="O45" s="176">
        <v>3222.9</v>
      </c>
      <c r="P45" s="176"/>
      <c r="Q45" s="176"/>
      <c r="R45" s="586">
        <f t="shared" si="25"/>
        <v>3222.9</v>
      </c>
      <c r="S45" s="335">
        <f t="shared" si="1"/>
        <v>0</v>
      </c>
      <c r="T45" s="337"/>
      <c r="U45" s="337">
        <f t="shared" si="2"/>
        <v>0</v>
      </c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566"/>
      <c r="AK45" s="566"/>
      <c r="AL45" s="566"/>
      <c r="AM45" s="566"/>
      <c r="AN45" s="566"/>
      <c r="AO45" s="566"/>
      <c r="AP45" s="566"/>
      <c r="AQ45" s="566"/>
      <c r="AR45" s="566"/>
      <c r="AS45" s="566"/>
      <c r="AT45" s="566"/>
      <c r="AU45" s="566"/>
      <c r="AV45" s="602">
        <f t="shared" si="5"/>
        <v>0</v>
      </c>
      <c r="AW45" s="337"/>
      <c r="AX45" s="337"/>
      <c r="AY45" s="337"/>
      <c r="AZ45" s="99"/>
      <c r="BA45" s="102"/>
      <c r="BB45" s="186"/>
      <c r="BC45" s="186"/>
      <c r="BD45" s="186"/>
      <c r="BE45" s="186"/>
    </row>
    <row r="46" spans="1:71" s="19" customFormat="1" ht="35.25" hidden="1" customHeight="1" outlineLevel="2" x14ac:dyDescent="0.25">
      <c r="A46" s="18"/>
      <c r="B46" s="9" t="s">
        <v>575</v>
      </c>
      <c r="C46" s="20" t="s">
        <v>465</v>
      </c>
      <c r="D46" s="335">
        <v>0</v>
      </c>
      <c r="E46" s="170">
        <v>867</v>
      </c>
      <c r="F46" s="176"/>
      <c r="G46" s="174"/>
      <c r="H46" s="176"/>
      <c r="I46" s="176"/>
      <c r="J46" s="176"/>
      <c r="K46" s="176"/>
      <c r="L46" s="174"/>
      <c r="M46" s="176"/>
      <c r="N46" s="176"/>
      <c r="O46" s="176">
        <v>231</v>
      </c>
      <c r="P46" s="176">
        <v>144.9</v>
      </c>
      <c r="Q46" s="176">
        <v>237.5</v>
      </c>
      <c r="R46" s="586">
        <f t="shared" si="25"/>
        <v>613.4</v>
      </c>
      <c r="S46" s="335">
        <f t="shared" si="1"/>
        <v>0</v>
      </c>
      <c r="T46" s="337"/>
      <c r="U46" s="337">
        <f t="shared" si="2"/>
        <v>0</v>
      </c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566"/>
      <c r="AK46" s="566"/>
      <c r="AL46" s="566"/>
      <c r="AM46" s="566"/>
      <c r="AN46" s="566"/>
      <c r="AO46" s="566"/>
      <c r="AP46" s="566"/>
      <c r="AQ46" s="566"/>
      <c r="AR46" s="566"/>
      <c r="AS46" s="566"/>
      <c r="AT46" s="566"/>
      <c r="AU46" s="566"/>
      <c r="AV46" s="602">
        <f t="shared" si="5"/>
        <v>0</v>
      </c>
      <c r="AW46" s="337"/>
      <c r="AX46" s="337"/>
      <c r="AY46" s="337"/>
      <c r="AZ46" s="99"/>
      <c r="BA46" s="102"/>
      <c r="BB46" s="186"/>
      <c r="BC46" s="186"/>
      <c r="BD46" s="186"/>
      <c r="BE46" s="186"/>
    </row>
    <row r="47" spans="1:71" s="631" customFormat="1" ht="45" outlineLevel="7" x14ac:dyDescent="0.25">
      <c r="A47" s="8" t="s">
        <v>117</v>
      </c>
      <c r="B47" s="9" t="s">
        <v>139</v>
      </c>
      <c r="C47" s="10" t="s">
        <v>118</v>
      </c>
      <c r="D47" s="335">
        <v>0</v>
      </c>
      <c r="E47" s="335">
        <v>5505.8</v>
      </c>
      <c r="F47" s="176"/>
      <c r="G47" s="176">
        <v>546</v>
      </c>
      <c r="H47" s="176">
        <v>546</v>
      </c>
      <c r="I47" s="176">
        <v>1238.0999999999999</v>
      </c>
      <c r="J47" s="176">
        <v>486</v>
      </c>
      <c r="K47" s="176"/>
      <c r="L47" s="174"/>
      <c r="M47" s="176">
        <v>195</v>
      </c>
      <c r="N47" s="176">
        <v>525</v>
      </c>
      <c r="O47" s="176">
        <v>585</v>
      </c>
      <c r="P47" s="176">
        <v>713.1</v>
      </c>
      <c r="Q47" s="176">
        <v>671.6</v>
      </c>
      <c r="R47" s="586">
        <f t="shared" si="25"/>
        <v>5505.8000000000011</v>
      </c>
      <c r="S47" s="335">
        <f t="shared" si="1"/>
        <v>1092</v>
      </c>
      <c r="T47" s="337">
        <v>5676.3</v>
      </c>
      <c r="U47" s="337">
        <f t="shared" si="2"/>
        <v>5676.3</v>
      </c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566"/>
      <c r="AK47" s="566"/>
      <c r="AL47" s="566"/>
      <c r="AM47" s="566"/>
      <c r="AN47" s="566"/>
      <c r="AO47" s="566"/>
      <c r="AP47" s="566"/>
      <c r="AQ47" s="566"/>
      <c r="AR47" s="566"/>
      <c r="AS47" s="566"/>
      <c r="AT47" s="566"/>
      <c r="AU47" s="566"/>
      <c r="AV47" s="602">
        <f t="shared" si="5"/>
        <v>0</v>
      </c>
      <c r="AW47" s="337"/>
      <c r="AX47" s="337"/>
      <c r="AY47" s="337"/>
      <c r="AZ47" s="99"/>
      <c r="BA47" s="102"/>
      <c r="BB47" s="186"/>
      <c r="BC47" s="186"/>
      <c r="BD47" s="186"/>
      <c r="BE47" s="186"/>
    </row>
    <row r="48" spans="1:71" s="631" customFormat="1" ht="45" outlineLevel="7" x14ac:dyDescent="0.25">
      <c r="A48" s="8" t="s">
        <v>36</v>
      </c>
      <c r="B48" s="9" t="s">
        <v>115</v>
      </c>
      <c r="C48" s="10" t="s">
        <v>37</v>
      </c>
      <c r="D48" s="335">
        <v>1908.8</v>
      </c>
      <c r="E48" s="99">
        <v>1835.2</v>
      </c>
      <c r="F48" s="176"/>
      <c r="G48" s="176">
        <v>182</v>
      </c>
      <c r="H48" s="176">
        <v>182</v>
      </c>
      <c r="I48" s="176">
        <v>412.7</v>
      </c>
      <c r="J48" s="176">
        <v>162</v>
      </c>
      <c r="K48" s="176"/>
      <c r="L48" s="174"/>
      <c r="M48" s="176">
        <v>65</v>
      </c>
      <c r="N48" s="176">
        <v>175</v>
      </c>
      <c r="O48" s="176">
        <v>195</v>
      </c>
      <c r="P48" s="176">
        <v>237.7</v>
      </c>
      <c r="Q48" s="176">
        <v>223.9</v>
      </c>
      <c r="R48" s="586">
        <f t="shared" si="25"/>
        <v>1835.3000000000002</v>
      </c>
      <c r="S48" s="335">
        <f t="shared" si="1"/>
        <v>364</v>
      </c>
      <c r="T48" s="337">
        <v>2099.5</v>
      </c>
      <c r="U48" s="337">
        <v>2099.5</v>
      </c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566"/>
      <c r="AK48" s="566"/>
      <c r="AL48" s="566"/>
      <c r="AM48" s="566"/>
      <c r="AN48" s="566"/>
      <c r="AO48" s="566"/>
      <c r="AP48" s="566"/>
      <c r="AQ48" s="566"/>
      <c r="AR48" s="566"/>
      <c r="AS48" s="566"/>
      <c r="AT48" s="566"/>
      <c r="AU48" s="566"/>
      <c r="AV48" s="602">
        <f t="shared" si="5"/>
        <v>0</v>
      </c>
      <c r="AW48" s="337"/>
      <c r="AX48" s="337"/>
      <c r="AY48" s="337"/>
      <c r="AZ48" s="99"/>
      <c r="BA48" s="102"/>
      <c r="BB48" s="186"/>
      <c r="BC48" s="186"/>
      <c r="BD48" s="186"/>
      <c r="BE48" s="186"/>
    </row>
    <row r="49" spans="1:57" s="631" customFormat="1" ht="70.5" hidden="1" customHeight="1" outlineLevel="7" x14ac:dyDescent="0.25">
      <c r="A49" s="8" t="s">
        <v>39</v>
      </c>
      <c r="B49" s="9" t="s">
        <v>119</v>
      </c>
      <c r="C49" s="10" t="s">
        <v>328</v>
      </c>
      <c r="D49" s="335">
        <v>0</v>
      </c>
      <c r="E49" s="170">
        <v>0</v>
      </c>
      <c r="F49" s="176"/>
      <c r="G49" s="174"/>
      <c r="H49" s="176"/>
      <c r="I49" s="176"/>
      <c r="J49" s="176"/>
      <c r="K49" s="176"/>
      <c r="L49" s="174"/>
      <c r="M49" s="176"/>
      <c r="N49" s="176"/>
      <c r="O49" s="176"/>
      <c r="P49" s="176"/>
      <c r="Q49" s="176"/>
      <c r="R49" s="586">
        <f t="shared" si="25"/>
        <v>0</v>
      </c>
      <c r="S49" s="335">
        <f t="shared" si="1"/>
        <v>0</v>
      </c>
      <c r="T49" s="337"/>
      <c r="U49" s="337">
        <f t="shared" si="2"/>
        <v>0</v>
      </c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566"/>
      <c r="AK49" s="566"/>
      <c r="AL49" s="566"/>
      <c r="AM49" s="566"/>
      <c r="AN49" s="566"/>
      <c r="AO49" s="566"/>
      <c r="AP49" s="566"/>
      <c r="AQ49" s="566"/>
      <c r="AR49" s="566"/>
      <c r="AS49" s="566"/>
      <c r="AT49" s="566"/>
      <c r="AU49" s="566"/>
      <c r="AV49" s="602">
        <f t="shared" si="5"/>
        <v>0</v>
      </c>
      <c r="AW49" s="337"/>
      <c r="AX49" s="337"/>
      <c r="AY49" s="337"/>
      <c r="AZ49" s="99"/>
      <c r="BA49" s="102"/>
      <c r="BB49" s="186"/>
      <c r="BC49" s="186"/>
      <c r="BD49" s="186"/>
      <c r="BE49" s="186"/>
    </row>
    <row r="50" spans="1:57" s="631" customFormat="1" ht="67.5" hidden="1" customHeight="1" outlineLevel="7" x14ac:dyDescent="0.25">
      <c r="A50" s="8" t="s">
        <v>40</v>
      </c>
      <c r="B50" s="9" t="s">
        <v>120</v>
      </c>
      <c r="C50" s="10" t="s">
        <v>41</v>
      </c>
      <c r="D50" s="335">
        <v>285</v>
      </c>
      <c r="E50" s="170">
        <v>0</v>
      </c>
      <c r="F50" s="176"/>
      <c r="G50" s="174"/>
      <c r="H50" s="176"/>
      <c r="I50" s="176"/>
      <c r="J50" s="176"/>
      <c r="K50" s="176"/>
      <c r="L50" s="174"/>
      <c r="M50" s="176"/>
      <c r="N50" s="176"/>
      <c r="O50" s="176"/>
      <c r="P50" s="176"/>
      <c r="Q50" s="176"/>
      <c r="R50" s="586">
        <f t="shared" si="25"/>
        <v>0</v>
      </c>
      <c r="S50" s="335">
        <f t="shared" si="1"/>
        <v>0</v>
      </c>
      <c r="T50" s="337"/>
      <c r="U50" s="337">
        <f t="shared" si="2"/>
        <v>0</v>
      </c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566"/>
      <c r="AK50" s="566"/>
      <c r="AL50" s="566"/>
      <c r="AM50" s="566"/>
      <c r="AN50" s="566"/>
      <c r="AO50" s="566"/>
      <c r="AP50" s="566"/>
      <c r="AQ50" s="566"/>
      <c r="AR50" s="566"/>
      <c r="AS50" s="566"/>
      <c r="AT50" s="566"/>
      <c r="AU50" s="566"/>
      <c r="AV50" s="602">
        <f t="shared" si="5"/>
        <v>0</v>
      </c>
      <c r="AW50" s="337"/>
      <c r="AX50" s="337"/>
      <c r="AY50" s="337"/>
      <c r="AZ50" s="99"/>
      <c r="BA50" s="102"/>
      <c r="BB50" s="186"/>
      <c r="BC50" s="186"/>
      <c r="BD50" s="186"/>
      <c r="BE50" s="186"/>
    </row>
    <row r="51" spans="1:57" s="631" customFormat="1" ht="76.5" customHeight="1" outlineLevel="7" x14ac:dyDescent="0.25">
      <c r="A51" s="8" t="s">
        <v>42</v>
      </c>
      <c r="B51" s="9" t="s">
        <v>44</v>
      </c>
      <c r="C51" s="10" t="s">
        <v>43</v>
      </c>
      <c r="D51" s="335">
        <v>0</v>
      </c>
      <c r="E51" s="170">
        <v>0</v>
      </c>
      <c r="F51" s="176"/>
      <c r="G51" s="174"/>
      <c r="H51" s="176"/>
      <c r="I51" s="176"/>
      <c r="J51" s="176"/>
      <c r="K51" s="176"/>
      <c r="L51" s="174"/>
      <c r="M51" s="176"/>
      <c r="N51" s="176"/>
      <c r="O51" s="176"/>
      <c r="P51" s="176"/>
      <c r="Q51" s="176"/>
      <c r="R51" s="586">
        <f t="shared" si="25"/>
        <v>0</v>
      </c>
      <c r="S51" s="335">
        <f t="shared" si="1"/>
        <v>0</v>
      </c>
      <c r="T51" s="337">
        <v>7.1</v>
      </c>
      <c r="U51" s="337">
        <v>0</v>
      </c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566"/>
      <c r="AK51" s="566"/>
      <c r="AL51" s="566"/>
      <c r="AM51" s="566"/>
      <c r="AN51" s="566"/>
      <c r="AO51" s="566"/>
      <c r="AP51" s="566"/>
      <c r="AQ51" s="566"/>
      <c r="AR51" s="566"/>
      <c r="AS51" s="566"/>
      <c r="AT51" s="566"/>
      <c r="AU51" s="566"/>
      <c r="AV51" s="602">
        <f t="shared" si="5"/>
        <v>0</v>
      </c>
      <c r="AW51" s="337"/>
      <c r="AX51" s="337"/>
      <c r="AY51" s="337"/>
      <c r="AZ51" s="99"/>
      <c r="BA51" s="102"/>
      <c r="BB51" s="186"/>
      <c r="BC51" s="186"/>
      <c r="BD51" s="186"/>
      <c r="BE51" s="186"/>
    </row>
    <row r="52" spans="1:57" s="631" customFormat="1" ht="89.25" customHeight="1" outlineLevel="7" x14ac:dyDescent="0.25">
      <c r="A52" s="8" t="s">
        <v>45</v>
      </c>
      <c r="B52" s="9" t="s">
        <v>121</v>
      </c>
      <c r="C52" s="10" t="s">
        <v>46</v>
      </c>
      <c r="D52" s="335">
        <v>306.2</v>
      </c>
      <c r="E52" s="170">
        <v>0</v>
      </c>
      <c r="F52" s="176"/>
      <c r="G52" s="174"/>
      <c r="H52" s="176"/>
      <c r="I52" s="176"/>
      <c r="J52" s="176"/>
      <c r="K52" s="176"/>
      <c r="L52" s="174"/>
      <c r="M52" s="176"/>
      <c r="N52" s="176"/>
      <c r="O52" s="176"/>
      <c r="P52" s="176"/>
      <c r="Q52" s="176"/>
      <c r="R52" s="586">
        <f t="shared" si="25"/>
        <v>0</v>
      </c>
      <c r="S52" s="335">
        <f t="shared" si="1"/>
        <v>0</v>
      </c>
      <c r="T52" s="337">
        <v>3.6</v>
      </c>
      <c r="U52" s="337">
        <v>0</v>
      </c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566"/>
      <c r="AK52" s="566"/>
      <c r="AL52" s="566"/>
      <c r="AM52" s="566"/>
      <c r="AN52" s="566"/>
      <c r="AO52" s="566"/>
      <c r="AP52" s="566"/>
      <c r="AQ52" s="566"/>
      <c r="AR52" s="566"/>
      <c r="AS52" s="566"/>
      <c r="AT52" s="566"/>
      <c r="AU52" s="566"/>
      <c r="AV52" s="602">
        <f t="shared" si="5"/>
        <v>0</v>
      </c>
      <c r="AW52" s="337"/>
      <c r="AX52" s="337"/>
      <c r="AY52" s="337"/>
      <c r="AZ52" s="99"/>
      <c r="BA52" s="102"/>
      <c r="BB52" s="186"/>
      <c r="BC52" s="186"/>
      <c r="BD52" s="186"/>
      <c r="BE52" s="186"/>
    </row>
    <row r="53" spans="1:57" s="631" customFormat="1" ht="46.5" customHeight="1" outlineLevel="7" x14ac:dyDescent="0.25">
      <c r="A53" s="8"/>
      <c r="B53" s="9" t="s">
        <v>226</v>
      </c>
      <c r="C53" s="10" t="s">
        <v>253</v>
      </c>
      <c r="D53" s="335">
        <v>0</v>
      </c>
      <c r="E53" s="170">
        <v>31.6</v>
      </c>
      <c r="F53" s="176"/>
      <c r="G53" s="174"/>
      <c r="H53" s="176"/>
      <c r="I53" s="176">
        <v>31.6</v>
      </c>
      <c r="J53" s="176"/>
      <c r="K53" s="176"/>
      <c r="L53" s="174"/>
      <c r="M53" s="176"/>
      <c r="N53" s="176"/>
      <c r="O53" s="176"/>
      <c r="P53" s="176"/>
      <c r="Q53" s="176"/>
      <c r="R53" s="586">
        <f t="shared" si="25"/>
        <v>31.6</v>
      </c>
      <c r="S53" s="335">
        <f t="shared" si="1"/>
        <v>0</v>
      </c>
      <c r="T53" s="337">
        <v>3393.3</v>
      </c>
      <c r="U53" s="337">
        <f t="shared" si="2"/>
        <v>3393.3</v>
      </c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566"/>
      <c r="AK53" s="566"/>
      <c r="AL53" s="566"/>
      <c r="AM53" s="566"/>
      <c r="AN53" s="566"/>
      <c r="AO53" s="566"/>
      <c r="AP53" s="566"/>
      <c r="AQ53" s="566"/>
      <c r="AR53" s="566"/>
      <c r="AS53" s="566"/>
      <c r="AT53" s="566"/>
      <c r="AU53" s="566"/>
      <c r="AV53" s="602">
        <f t="shared" si="5"/>
        <v>0</v>
      </c>
      <c r="AW53" s="337"/>
      <c r="AX53" s="337"/>
      <c r="AY53" s="337"/>
      <c r="AZ53" s="99"/>
      <c r="BA53" s="102"/>
      <c r="BB53" s="186"/>
      <c r="BC53" s="186"/>
      <c r="BD53" s="186"/>
      <c r="BE53" s="186"/>
    </row>
    <row r="54" spans="1:57" s="631" customFormat="1" ht="46.5" customHeight="1" outlineLevel="7" x14ac:dyDescent="0.25">
      <c r="A54" s="8"/>
      <c r="B54" s="9" t="s">
        <v>225</v>
      </c>
      <c r="C54" s="10" t="s">
        <v>52</v>
      </c>
      <c r="D54" s="335">
        <v>11</v>
      </c>
      <c r="E54" s="170">
        <v>10.5</v>
      </c>
      <c r="F54" s="176"/>
      <c r="G54" s="174"/>
      <c r="H54" s="176"/>
      <c r="I54" s="176">
        <v>10.5</v>
      </c>
      <c r="J54" s="176"/>
      <c r="K54" s="176"/>
      <c r="L54" s="174"/>
      <c r="M54" s="176"/>
      <c r="N54" s="176"/>
      <c r="O54" s="176"/>
      <c r="P54" s="176"/>
      <c r="Q54" s="176"/>
      <c r="R54" s="586">
        <f t="shared" si="25"/>
        <v>10.5</v>
      </c>
      <c r="S54" s="335">
        <f t="shared" si="1"/>
        <v>0</v>
      </c>
      <c r="T54" s="337">
        <v>225.8</v>
      </c>
      <c r="U54" s="337">
        <v>225.9</v>
      </c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566"/>
      <c r="AK54" s="566"/>
      <c r="AL54" s="566"/>
      <c r="AM54" s="566"/>
      <c r="AN54" s="566"/>
      <c r="AO54" s="566"/>
      <c r="AP54" s="566"/>
      <c r="AQ54" s="566"/>
      <c r="AR54" s="566"/>
      <c r="AS54" s="566"/>
      <c r="AT54" s="566"/>
      <c r="AU54" s="566"/>
      <c r="AV54" s="602">
        <f t="shared" si="5"/>
        <v>0</v>
      </c>
      <c r="AW54" s="337"/>
      <c r="AX54" s="337"/>
      <c r="AY54" s="337"/>
      <c r="AZ54" s="99"/>
      <c r="BA54" s="102"/>
      <c r="BB54" s="186"/>
      <c r="BC54" s="186"/>
      <c r="BD54" s="186"/>
      <c r="BE54" s="186"/>
    </row>
    <row r="55" spans="1:57" s="631" customFormat="1" ht="44.25" customHeight="1" outlineLevel="7" x14ac:dyDescent="0.25">
      <c r="A55" s="8" t="s">
        <v>47</v>
      </c>
      <c r="B55" s="9" t="s">
        <v>123</v>
      </c>
      <c r="C55" s="10" t="s">
        <v>254</v>
      </c>
      <c r="D55" s="417">
        <v>0</v>
      </c>
      <c r="E55" s="418">
        <v>5000</v>
      </c>
      <c r="F55" s="285"/>
      <c r="G55" s="174"/>
      <c r="H55" s="176"/>
      <c r="I55" s="176"/>
      <c r="J55" s="176"/>
      <c r="K55" s="176"/>
      <c r="L55" s="176">
        <v>1782.5</v>
      </c>
      <c r="M55" s="176"/>
      <c r="N55" s="176">
        <v>3217.5</v>
      </c>
      <c r="O55" s="176"/>
      <c r="P55" s="176"/>
      <c r="Q55" s="176"/>
      <c r="R55" s="586">
        <f t="shared" si="25"/>
        <v>5000</v>
      </c>
      <c r="S55" s="335">
        <f t="shared" si="1"/>
        <v>0</v>
      </c>
      <c r="T55" s="337">
        <v>5000</v>
      </c>
      <c r="U55" s="337">
        <f t="shared" si="2"/>
        <v>5000</v>
      </c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37"/>
      <c r="AJ55" s="566"/>
      <c r="AK55" s="566"/>
      <c r="AL55" s="566"/>
      <c r="AM55" s="566"/>
      <c r="AN55" s="566"/>
      <c r="AO55" s="566"/>
      <c r="AP55" s="566"/>
      <c r="AQ55" s="566"/>
      <c r="AR55" s="566"/>
      <c r="AS55" s="566"/>
      <c r="AT55" s="566"/>
      <c r="AU55" s="566"/>
      <c r="AV55" s="602">
        <f t="shared" si="5"/>
        <v>0</v>
      </c>
      <c r="AW55" s="337"/>
      <c r="AX55" s="337"/>
      <c r="AY55" s="337"/>
      <c r="AZ55" s="99"/>
      <c r="BA55" s="102"/>
      <c r="BB55" s="186"/>
      <c r="BC55" s="186"/>
      <c r="BD55" s="186"/>
      <c r="BE55" s="186"/>
    </row>
    <row r="56" spans="1:57" s="631" customFormat="1" ht="45.75" outlineLevel="7" thickBot="1" x14ac:dyDescent="0.3">
      <c r="A56" s="8" t="s">
        <v>48</v>
      </c>
      <c r="B56" s="9" t="s">
        <v>122</v>
      </c>
      <c r="C56" s="10" t="s">
        <v>49</v>
      </c>
      <c r="D56" s="583">
        <v>0</v>
      </c>
      <c r="E56" s="426">
        <v>208.3</v>
      </c>
      <c r="F56" s="449"/>
      <c r="G56" s="235"/>
      <c r="H56" s="176"/>
      <c r="I56" s="176"/>
      <c r="J56" s="176"/>
      <c r="K56" s="176"/>
      <c r="L56" s="176">
        <v>74.3</v>
      </c>
      <c r="M56" s="261"/>
      <c r="N56" s="261">
        <v>134</v>
      </c>
      <c r="O56" s="261"/>
      <c r="P56" s="261"/>
      <c r="Q56" s="261"/>
      <c r="R56" s="586">
        <f t="shared" si="25"/>
        <v>208.3</v>
      </c>
      <c r="S56" s="335">
        <f t="shared" si="1"/>
        <v>0</v>
      </c>
      <c r="T56" s="337">
        <v>319.10000000000002</v>
      </c>
      <c r="U56" s="337">
        <f t="shared" si="2"/>
        <v>319.10000000000002</v>
      </c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566"/>
      <c r="AK56" s="566"/>
      <c r="AL56" s="566"/>
      <c r="AM56" s="566"/>
      <c r="AN56" s="566"/>
      <c r="AO56" s="566"/>
      <c r="AP56" s="566"/>
      <c r="AQ56" s="566"/>
      <c r="AR56" s="566"/>
      <c r="AS56" s="566"/>
      <c r="AT56" s="566"/>
      <c r="AU56" s="566"/>
      <c r="AV56" s="602">
        <f t="shared" si="5"/>
        <v>0</v>
      </c>
      <c r="AW56" s="337"/>
      <c r="AX56" s="337"/>
      <c r="AY56" s="337"/>
      <c r="AZ56" s="99"/>
      <c r="BA56" s="102"/>
      <c r="BB56" s="186"/>
      <c r="BC56" s="186"/>
      <c r="BD56" s="186"/>
      <c r="BE56" s="186"/>
    </row>
    <row r="57" spans="1:57" s="631" customFormat="1" ht="48.75" customHeight="1" outlineLevel="7" x14ac:dyDescent="0.25">
      <c r="A57" s="8"/>
      <c r="B57" s="177" t="s">
        <v>140</v>
      </c>
      <c r="C57" s="247" t="s">
        <v>288</v>
      </c>
      <c r="D57" s="404">
        <v>0</v>
      </c>
      <c r="E57" s="405">
        <v>0</v>
      </c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586">
        <f t="shared" si="25"/>
        <v>0</v>
      </c>
      <c r="S57" s="335">
        <f t="shared" si="1"/>
        <v>0</v>
      </c>
      <c r="T57" s="337">
        <v>0</v>
      </c>
      <c r="U57" s="337">
        <v>2782.5</v>
      </c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566"/>
      <c r="AK57" s="566"/>
      <c r="AL57" s="566"/>
      <c r="AM57" s="566"/>
      <c r="AN57" s="566"/>
      <c r="AO57" s="566"/>
      <c r="AP57" s="566"/>
      <c r="AQ57" s="566"/>
      <c r="AR57" s="566"/>
      <c r="AS57" s="566"/>
      <c r="AT57" s="566"/>
      <c r="AU57" s="566"/>
      <c r="AV57" s="602">
        <f t="shared" si="5"/>
        <v>0</v>
      </c>
      <c r="AW57" s="337"/>
      <c r="AX57" s="337"/>
      <c r="AY57" s="337"/>
      <c r="AZ57" s="99"/>
      <c r="BA57" s="102"/>
      <c r="BB57" s="186"/>
      <c r="BC57" s="186"/>
      <c r="BD57" s="186"/>
      <c r="BE57" s="186"/>
    </row>
    <row r="58" spans="1:57" s="631" customFormat="1" ht="55.5" customHeight="1" outlineLevel="7" thickBot="1" x14ac:dyDescent="0.3">
      <c r="A58" s="8"/>
      <c r="B58" s="239" t="s">
        <v>675</v>
      </c>
      <c r="C58" s="282" t="s">
        <v>273</v>
      </c>
      <c r="D58" s="580">
        <v>0</v>
      </c>
      <c r="E58" s="581">
        <v>0</v>
      </c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590">
        <f t="shared" si="25"/>
        <v>0</v>
      </c>
      <c r="S58" s="335">
        <f t="shared" si="1"/>
        <v>0</v>
      </c>
      <c r="T58" s="582">
        <v>0</v>
      </c>
      <c r="U58" s="582">
        <f>4101.8+177.6</f>
        <v>4279.4000000000005</v>
      </c>
      <c r="V58" s="337"/>
      <c r="W58" s="337"/>
      <c r="X58" s="337"/>
      <c r="Y58" s="337"/>
      <c r="Z58" s="337"/>
      <c r="AA58" s="337"/>
      <c r="AB58" s="337"/>
      <c r="AC58" s="337"/>
      <c r="AD58" s="337"/>
      <c r="AE58" s="337"/>
      <c r="AF58" s="337"/>
      <c r="AG58" s="337"/>
      <c r="AH58" s="337"/>
      <c r="AI58" s="337"/>
      <c r="AJ58" s="566"/>
      <c r="AK58" s="566"/>
      <c r="AL58" s="566"/>
      <c r="AM58" s="566"/>
      <c r="AN58" s="566"/>
      <c r="AO58" s="566"/>
      <c r="AP58" s="566"/>
      <c r="AQ58" s="566"/>
      <c r="AR58" s="566"/>
      <c r="AS58" s="566"/>
      <c r="AT58" s="566"/>
      <c r="AU58" s="566"/>
      <c r="AV58" s="602">
        <f t="shared" si="5"/>
        <v>0</v>
      </c>
      <c r="AW58" s="337"/>
      <c r="AX58" s="337"/>
      <c r="AY58" s="337"/>
      <c r="AZ58" s="99"/>
      <c r="BA58" s="102"/>
      <c r="BB58" s="186"/>
      <c r="BC58" s="186"/>
      <c r="BD58" s="186"/>
      <c r="BE58" s="186"/>
    </row>
    <row r="59" spans="1:57" s="631" customFormat="1" ht="75" outlineLevel="7" x14ac:dyDescent="0.25">
      <c r="A59" s="8"/>
      <c r="B59" s="177" t="s">
        <v>446</v>
      </c>
      <c r="C59" s="247" t="s">
        <v>301</v>
      </c>
      <c r="D59" s="404">
        <v>1200</v>
      </c>
      <c r="E59" s="405">
        <v>400.1</v>
      </c>
      <c r="F59" s="253"/>
      <c r="G59" s="253"/>
      <c r="H59" s="253"/>
      <c r="I59" s="253"/>
      <c r="J59" s="253"/>
      <c r="K59" s="253"/>
      <c r="L59" s="253"/>
      <c r="M59" s="253"/>
      <c r="N59" s="253">
        <v>400.1</v>
      </c>
      <c r="O59" s="253"/>
      <c r="P59" s="253"/>
      <c r="Q59" s="253"/>
      <c r="R59" s="591">
        <f t="shared" si="25"/>
        <v>400.1</v>
      </c>
      <c r="S59" s="335">
        <f t="shared" si="1"/>
        <v>0</v>
      </c>
      <c r="T59" s="579"/>
      <c r="U59" s="579">
        <f t="shared" si="2"/>
        <v>0</v>
      </c>
      <c r="V59" s="337"/>
      <c r="W59" s="337"/>
      <c r="X59" s="337"/>
      <c r="Y59" s="337"/>
      <c r="Z59" s="337"/>
      <c r="AA59" s="337"/>
      <c r="AB59" s="337"/>
      <c r="AC59" s="337"/>
      <c r="AD59" s="337"/>
      <c r="AE59" s="337"/>
      <c r="AF59" s="337"/>
      <c r="AG59" s="337"/>
      <c r="AH59" s="337"/>
      <c r="AI59" s="337"/>
      <c r="AJ59" s="566"/>
      <c r="AK59" s="566"/>
      <c r="AL59" s="566"/>
      <c r="AM59" s="566"/>
      <c r="AN59" s="566"/>
      <c r="AO59" s="566"/>
      <c r="AP59" s="566"/>
      <c r="AQ59" s="566"/>
      <c r="AR59" s="566"/>
      <c r="AS59" s="566"/>
      <c r="AT59" s="566"/>
      <c r="AU59" s="566"/>
      <c r="AV59" s="602">
        <f t="shared" si="5"/>
        <v>0</v>
      </c>
      <c r="AW59" s="337"/>
      <c r="AX59" s="337"/>
      <c r="AY59" s="337"/>
      <c r="AZ59" s="99"/>
      <c r="BA59" s="102"/>
      <c r="BB59" s="186"/>
      <c r="BC59" s="186"/>
      <c r="BD59" s="186"/>
      <c r="BE59" s="186"/>
    </row>
    <row r="60" spans="1:57" s="631" customFormat="1" ht="30" outlineLevel="7" x14ac:dyDescent="0.25">
      <c r="A60" s="8" t="s">
        <v>50</v>
      </c>
      <c r="B60" s="180" t="s">
        <v>124</v>
      </c>
      <c r="C60" s="10" t="s">
        <v>51</v>
      </c>
      <c r="D60" s="335">
        <v>2600.6</v>
      </c>
      <c r="E60" s="170">
        <v>2600.6</v>
      </c>
      <c r="F60" s="176">
        <v>205.9</v>
      </c>
      <c r="G60" s="176">
        <v>205.9</v>
      </c>
      <c r="H60" s="176">
        <v>205.8</v>
      </c>
      <c r="I60" s="176">
        <v>205.9</v>
      </c>
      <c r="J60" s="176">
        <v>205.9</v>
      </c>
      <c r="K60" s="176">
        <v>205.9</v>
      </c>
      <c r="L60" s="176">
        <v>205.9</v>
      </c>
      <c r="M60" s="176">
        <v>205.9</v>
      </c>
      <c r="N60" s="176">
        <v>205.9</v>
      </c>
      <c r="O60" s="176">
        <v>205.8</v>
      </c>
      <c r="P60" s="176">
        <v>205.9</v>
      </c>
      <c r="Q60" s="176">
        <v>205.9</v>
      </c>
      <c r="R60" s="586">
        <f t="shared" si="25"/>
        <v>2470.6000000000008</v>
      </c>
      <c r="S60" s="335">
        <f t="shared" si="1"/>
        <v>617.6</v>
      </c>
      <c r="T60" s="337">
        <v>2555.6999999999998</v>
      </c>
      <c r="U60" s="337">
        <f t="shared" si="2"/>
        <v>2555.6999999999998</v>
      </c>
      <c r="V60" s="337"/>
      <c r="W60" s="335">
        <f>AV60</f>
        <v>426</v>
      </c>
      <c r="X60" s="335">
        <f>AJ60</f>
        <v>213</v>
      </c>
      <c r="Y60" s="335">
        <f>AK60</f>
        <v>213</v>
      </c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96">
        <v>213</v>
      </c>
      <c r="AK60" s="571">
        <v>213</v>
      </c>
      <c r="AL60" s="566"/>
      <c r="AM60" s="566"/>
      <c r="AN60" s="566"/>
      <c r="AO60" s="566"/>
      <c r="AP60" s="566"/>
      <c r="AQ60" s="566"/>
      <c r="AR60" s="566"/>
      <c r="AS60" s="566"/>
      <c r="AT60" s="566"/>
      <c r="AU60" s="566"/>
      <c r="AV60" s="602">
        <f t="shared" si="5"/>
        <v>426</v>
      </c>
      <c r="AW60" s="337"/>
      <c r="AX60" s="337"/>
      <c r="AY60" s="337"/>
      <c r="AZ60" s="99"/>
      <c r="BA60" s="102"/>
      <c r="BB60" s="186"/>
      <c r="BC60" s="186"/>
      <c r="BD60" s="186"/>
      <c r="BE60" s="186"/>
    </row>
    <row r="61" spans="1:57" s="19" customFormat="1" ht="83.25" customHeight="1" outlineLevel="2" x14ac:dyDescent="0.25">
      <c r="A61" s="18"/>
      <c r="B61" s="223" t="s">
        <v>676</v>
      </c>
      <c r="C61" s="20" t="s">
        <v>677</v>
      </c>
      <c r="D61" s="335">
        <v>1067.4000000000001</v>
      </c>
      <c r="E61" s="170">
        <v>0</v>
      </c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586">
        <f t="shared" si="25"/>
        <v>0</v>
      </c>
      <c r="S61" s="335">
        <f t="shared" si="1"/>
        <v>0</v>
      </c>
      <c r="T61" s="335">
        <v>11700</v>
      </c>
      <c r="U61" s="335">
        <v>0</v>
      </c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566"/>
      <c r="AK61" s="566"/>
      <c r="AL61" s="566"/>
      <c r="AM61" s="566"/>
      <c r="AN61" s="566"/>
      <c r="AO61" s="566"/>
      <c r="AP61" s="566"/>
      <c r="AQ61" s="566"/>
      <c r="AR61" s="566"/>
      <c r="AS61" s="566"/>
      <c r="AT61" s="566"/>
      <c r="AU61" s="566"/>
      <c r="AV61" s="602">
        <f t="shared" si="5"/>
        <v>0</v>
      </c>
      <c r="AW61" s="337"/>
      <c r="AX61" s="337"/>
      <c r="AY61" s="337"/>
      <c r="AZ61" s="99"/>
      <c r="BA61" s="102"/>
      <c r="BB61" s="186"/>
      <c r="BC61" s="186"/>
      <c r="BD61" s="186"/>
      <c r="BE61" s="186"/>
    </row>
    <row r="62" spans="1:57" s="631" customFormat="1" ht="30" outlineLevel="7" x14ac:dyDescent="0.25">
      <c r="A62" s="8" t="s">
        <v>50</v>
      </c>
      <c r="B62" s="9" t="s">
        <v>371</v>
      </c>
      <c r="C62" s="10" t="s">
        <v>349</v>
      </c>
      <c r="D62" s="335">
        <v>13695.9</v>
      </c>
      <c r="E62" s="170">
        <v>52878.7</v>
      </c>
      <c r="F62" s="176"/>
      <c r="G62" s="176"/>
      <c r="H62" s="176"/>
      <c r="I62" s="176">
        <v>4537.8999999999996</v>
      </c>
      <c r="J62" s="176"/>
      <c r="K62" s="176">
        <v>2350.3000000000002</v>
      </c>
      <c r="L62" s="176">
        <v>2671.7</v>
      </c>
      <c r="M62" s="176">
        <v>2392.3000000000002</v>
      </c>
      <c r="N62" s="176">
        <v>5162.8</v>
      </c>
      <c r="O62" s="176">
        <v>11309.3</v>
      </c>
      <c r="P62" s="176">
        <v>2259.5</v>
      </c>
      <c r="Q62" s="176">
        <f>15313.9+5119.1+368.1</f>
        <v>20801.099999999999</v>
      </c>
      <c r="R62" s="586">
        <f t="shared" si="25"/>
        <v>51484.899999999994</v>
      </c>
      <c r="S62" s="335">
        <f t="shared" si="1"/>
        <v>0</v>
      </c>
      <c r="T62" s="337"/>
      <c r="U62" s="337">
        <f t="shared" si="2"/>
        <v>0</v>
      </c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7"/>
      <c r="AJ62" s="566"/>
      <c r="AK62" s="566"/>
      <c r="AL62" s="566"/>
      <c r="AM62" s="566"/>
      <c r="AN62" s="566"/>
      <c r="AO62" s="566"/>
      <c r="AP62" s="566"/>
      <c r="AQ62" s="566"/>
      <c r="AR62" s="566"/>
      <c r="AS62" s="566"/>
      <c r="AT62" s="566"/>
      <c r="AU62" s="566"/>
      <c r="AV62" s="602">
        <f t="shared" si="5"/>
        <v>0</v>
      </c>
      <c r="AW62" s="337"/>
      <c r="AX62" s="337"/>
      <c r="AY62" s="337"/>
      <c r="AZ62" s="99"/>
      <c r="BA62" s="102"/>
      <c r="BB62" s="186"/>
      <c r="BC62" s="186"/>
      <c r="BD62" s="186"/>
      <c r="BE62" s="186"/>
    </row>
    <row r="63" spans="1:57" s="631" customFormat="1" ht="45" outlineLevel="7" x14ac:dyDescent="0.25">
      <c r="A63" s="8"/>
      <c r="B63" s="9" t="s">
        <v>651</v>
      </c>
      <c r="C63" s="10" t="s">
        <v>434</v>
      </c>
      <c r="D63" s="335"/>
      <c r="E63" s="170">
        <v>2626</v>
      </c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>
        <v>2282.9</v>
      </c>
      <c r="R63" s="586">
        <f t="shared" si="25"/>
        <v>2282.9</v>
      </c>
      <c r="S63" s="335">
        <f t="shared" si="1"/>
        <v>0</v>
      </c>
      <c r="T63" s="337"/>
      <c r="U63" s="337">
        <f t="shared" si="2"/>
        <v>0</v>
      </c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7"/>
      <c r="AJ63" s="566"/>
      <c r="AK63" s="566"/>
      <c r="AL63" s="566"/>
      <c r="AM63" s="566"/>
      <c r="AN63" s="566"/>
      <c r="AO63" s="566"/>
      <c r="AP63" s="566"/>
      <c r="AQ63" s="566"/>
      <c r="AR63" s="566"/>
      <c r="AS63" s="566"/>
      <c r="AT63" s="566"/>
      <c r="AU63" s="566"/>
      <c r="AV63" s="602">
        <f t="shared" si="5"/>
        <v>0</v>
      </c>
      <c r="AW63" s="337"/>
      <c r="AX63" s="337"/>
      <c r="AY63" s="337"/>
      <c r="AZ63" s="99"/>
      <c r="BA63" s="102"/>
      <c r="BB63" s="186"/>
      <c r="BC63" s="186"/>
      <c r="BD63" s="186"/>
      <c r="BE63" s="186"/>
    </row>
    <row r="64" spans="1:57" s="631" customFormat="1" ht="42.75" customHeight="1" outlineLevel="7" x14ac:dyDescent="0.25">
      <c r="A64" s="8" t="s">
        <v>36</v>
      </c>
      <c r="B64" s="9" t="s">
        <v>116</v>
      </c>
      <c r="C64" s="10" t="s">
        <v>38</v>
      </c>
      <c r="D64" s="335">
        <v>2202.3000000000002</v>
      </c>
      <c r="E64" s="170">
        <v>2202.1999999999998</v>
      </c>
      <c r="F64" s="176"/>
      <c r="G64" s="176"/>
      <c r="H64" s="176">
        <v>697.4</v>
      </c>
      <c r="I64" s="176">
        <v>697.3</v>
      </c>
      <c r="J64" s="176"/>
      <c r="K64" s="176"/>
      <c r="L64" s="176"/>
      <c r="M64" s="176"/>
      <c r="N64" s="176"/>
      <c r="O64" s="176">
        <v>697.5</v>
      </c>
      <c r="P64" s="176">
        <v>110</v>
      </c>
      <c r="Q64" s="176"/>
      <c r="R64" s="586">
        <f t="shared" si="25"/>
        <v>2202.1999999999998</v>
      </c>
      <c r="S64" s="335">
        <f t="shared" si="1"/>
        <v>697.4</v>
      </c>
      <c r="T64" s="337">
        <v>2132</v>
      </c>
      <c r="U64" s="337">
        <f t="shared" si="2"/>
        <v>2132</v>
      </c>
      <c r="V64" s="337"/>
      <c r="W64" s="337"/>
      <c r="X64" s="337"/>
      <c r="Y64" s="337"/>
      <c r="Z64" s="337"/>
      <c r="AA64" s="337"/>
      <c r="AB64" s="337"/>
      <c r="AC64" s="337"/>
      <c r="AD64" s="337"/>
      <c r="AE64" s="337"/>
      <c r="AF64" s="337"/>
      <c r="AG64" s="337"/>
      <c r="AH64" s="337"/>
      <c r="AI64" s="337"/>
      <c r="AJ64" s="566"/>
      <c r="AK64" s="566"/>
      <c r="AL64" s="566"/>
      <c r="AM64" s="566"/>
      <c r="AN64" s="566"/>
      <c r="AO64" s="566"/>
      <c r="AP64" s="566"/>
      <c r="AQ64" s="566"/>
      <c r="AR64" s="566"/>
      <c r="AS64" s="566"/>
      <c r="AT64" s="566"/>
      <c r="AU64" s="566"/>
      <c r="AV64" s="602">
        <f t="shared" si="5"/>
        <v>0</v>
      </c>
      <c r="AW64" s="337"/>
      <c r="AX64" s="337"/>
      <c r="AY64" s="337"/>
      <c r="AZ64" s="99"/>
      <c r="BA64" s="102"/>
      <c r="BB64" s="186"/>
      <c r="BC64" s="186"/>
      <c r="BD64" s="186"/>
      <c r="BE64" s="186"/>
    </row>
    <row r="65" spans="1:59" s="631" customFormat="1" ht="67.5" customHeight="1" outlineLevel="7" x14ac:dyDescent="0.25">
      <c r="A65" s="8"/>
      <c r="B65" s="313" t="s">
        <v>447</v>
      </c>
      <c r="C65" s="10" t="s">
        <v>69</v>
      </c>
      <c r="D65" s="335">
        <v>3448.7</v>
      </c>
      <c r="E65" s="170">
        <v>3898.7</v>
      </c>
      <c r="F65" s="176"/>
      <c r="G65" s="176"/>
      <c r="H65" s="176">
        <v>1149.5999999999999</v>
      </c>
      <c r="I65" s="176">
        <v>1149.5</v>
      </c>
      <c r="J65" s="176"/>
      <c r="K65" s="176"/>
      <c r="L65" s="176"/>
      <c r="M65" s="176"/>
      <c r="N65" s="176"/>
      <c r="O65" s="176">
        <v>1149.5999999999999</v>
      </c>
      <c r="P65" s="176">
        <v>450</v>
      </c>
      <c r="Q65" s="176"/>
      <c r="R65" s="586">
        <f t="shared" si="25"/>
        <v>3898.7</v>
      </c>
      <c r="S65" s="335">
        <f t="shared" si="1"/>
        <v>1149.5999999999999</v>
      </c>
      <c r="T65" s="337">
        <v>3449.8</v>
      </c>
      <c r="U65" s="337">
        <f t="shared" si="2"/>
        <v>3449.8</v>
      </c>
      <c r="V65" s="337"/>
      <c r="W65" s="337"/>
      <c r="X65" s="337"/>
      <c r="Y65" s="337"/>
      <c r="Z65" s="337"/>
      <c r="AA65" s="337"/>
      <c r="AB65" s="337"/>
      <c r="AC65" s="337"/>
      <c r="AD65" s="337"/>
      <c r="AE65" s="337"/>
      <c r="AF65" s="337"/>
      <c r="AG65" s="337"/>
      <c r="AH65" s="337"/>
      <c r="AI65" s="337"/>
      <c r="AJ65" s="566"/>
      <c r="AK65" s="566"/>
      <c r="AL65" s="566"/>
      <c r="AM65" s="566"/>
      <c r="AN65" s="566"/>
      <c r="AO65" s="566"/>
      <c r="AP65" s="566"/>
      <c r="AQ65" s="566"/>
      <c r="AR65" s="566"/>
      <c r="AS65" s="566"/>
      <c r="AT65" s="566"/>
      <c r="AU65" s="566"/>
      <c r="AV65" s="602">
        <f t="shared" si="5"/>
        <v>0</v>
      </c>
      <c r="AW65" s="337"/>
      <c r="AX65" s="337"/>
      <c r="AY65" s="337"/>
      <c r="AZ65" s="99"/>
      <c r="BA65" s="102"/>
      <c r="BB65" s="186"/>
      <c r="BC65" s="186"/>
      <c r="BD65" s="186"/>
      <c r="BE65" s="186"/>
    </row>
    <row r="66" spans="1:59" s="631" customFormat="1" ht="30" outlineLevel="7" x14ac:dyDescent="0.25">
      <c r="A66" s="8"/>
      <c r="B66" s="9" t="s">
        <v>281</v>
      </c>
      <c r="C66" s="10" t="s">
        <v>350</v>
      </c>
      <c r="D66" s="335">
        <v>2048.3000000000002</v>
      </c>
      <c r="E66" s="170">
        <v>2048.3000000000002</v>
      </c>
      <c r="F66" s="176"/>
      <c r="G66" s="176"/>
      <c r="H66" s="176"/>
      <c r="I66" s="176"/>
      <c r="J66" s="176"/>
      <c r="K66" s="176">
        <v>1210.2</v>
      </c>
      <c r="L66" s="176">
        <v>838.1</v>
      </c>
      <c r="M66" s="176"/>
      <c r="N66" s="176"/>
      <c r="O66" s="176"/>
      <c r="P66" s="176"/>
      <c r="Q66" s="176"/>
      <c r="R66" s="586">
        <f t="shared" si="25"/>
        <v>2048.3000000000002</v>
      </c>
      <c r="S66" s="335">
        <f t="shared" si="1"/>
        <v>0</v>
      </c>
      <c r="T66" s="337">
        <v>870.2</v>
      </c>
      <c r="U66" s="337"/>
      <c r="V66" s="337"/>
      <c r="W66" s="337"/>
      <c r="X66" s="337"/>
      <c r="Y66" s="337"/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566"/>
      <c r="AK66" s="566"/>
      <c r="AL66" s="566"/>
      <c r="AM66" s="566"/>
      <c r="AN66" s="566"/>
      <c r="AO66" s="566"/>
      <c r="AP66" s="566"/>
      <c r="AQ66" s="566"/>
      <c r="AR66" s="566"/>
      <c r="AS66" s="566"/>
      <c r="AT66" s="566"/>
      <c r="AU66" s="566"/>
      <c r="AV66" s="602">
        <f t="shared" si="5"/>
        <v>0</v>
      </c>
      <c r="AW66" s="337"/>
      <c r="AX66" s="337"/>
      <c r="AY66" s="337"/>
      <c r="AZ66" s="99"/>
      <c r="BA66" s="102"/>
      <c r="BB66" s="186"/>
      <c r="BC66" s="186"/>
      <c r="BD66" s="186"/>
      <c r="BE66" s="186"/>
    </row>
    <row r="67" spans="1:59" ht="43.5" hidden="1" customHeight="1" x14ac:dyDescent="0.25">
      <c r="A67" s="585"/>
      <c r="B67" s="182" t="s">
        <v>268</v>
      </c>
      <c r="C67" s="10" t="s">
        <v>283</v>
      </c>
      <c r="D67" s="335">
        <v>2228.9</v>
      </c>
      <c r="E67" s="170">
        <v>0</v>
      </c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586">
        <f t="shared" si="25"/>
        <v>0</v>
      </c>
      <c r="S67" s="335">
        <f t="shared" si="1"/>
        <v>0</v>
      </c>
      <c r="T67" s="337"/>
      <c r="U67" s="337">
        <f t="shared" si="2"/>
        <v>0</v>
      </c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566"/>
      <c r="AK67" s="566"/>
      <c r="AL67" s="566"/>
      <c r="AM67" s="566"/>
      <c r="AN67" s="566"/>
      <c r="AO67" s="566"/>
      <c r="AP67" s="566"/>
      <c r="AQ67" s="566"/>
      <c r="AR67" s="566"/>
      <c r="AS67" s="566"/>
      <c r="AT67" s="566"/>
      <c r="AU67" s="566"/>
      <c r="AV67" s="602">
        <f t="shared" si="5"/>
        <v>0</v>
      </c>
      <c r="AW67" s="337"/>
      <c r="AX67" s="337"/>
      <c r="AY67" s="337"/>
      <c r="AZ67" s="99"/>
      <c r="BA67" s="102"/>
      <c r="BB67" s="186"/>
      <c r="BC67" s="186"/>
      <c r="BD67" s="186"/>
      <c r="BE67" s="186"/>
    </row>
    <row r="68" spans="1:59" ht="63.75" customHeight="1" x14ac:dyDescent="0.25">
      <c r="A68" s="585"/>
      <c r="B68" s="584" t="s">
        <v>564</v>
      </c>
      <c r="C68" s="179" t="s">
        <v>565</v>
      </c>
      <c r="D68" s="335">
        <v>4600</v>
      </c>
      <c r="E68" s="170">
        <v>4600</v>
      </c>
      <c r="F68" s="176"/>
      <c r="G68" s="176"/>
      <c r="H68" s="176"/>
      <c r="I68" s="176"/>
      <c r="J68" s="176">
        <v>2012.7</v>
      </c>
      <c r="K68" s="176">
        <v>2587.3000000000002</v>
      </c>
      <c r="L68" s="176"/>
      <c r="M68" s="176"/>
      <c r="N68" s="176"/>
      <c r="O68" s="176"/>
      <c r="P68" s="176"/>
      <c r="Q68" s="176"/>
      <c r="R68" s="586">
        <f t="shared" si="25"/>
        <v>4600</v>
      </c>
      <c r="S68" s="335">
        <f t="shared" si="1"/>
        <v>0</v>
      </c>
      <c r="T68" s="337"/>
      <c r="U68" s="337">
        <f t="shared" si="2"/>
        <v>0</v>
      </c>
      <c r="V68" s="337"/>
      <c r="W68" s="337"/>
      <c r="X68" s="337"/>
      <c r="Y68" s="337"/>
      <c r="Z68" s="337"/>
      <c r="AA68" s="337"/>
      <c r="AB68" s="337"/>
      <c r="AC68" s="337"/>
      <c r="AD68" s="337"/>
      <c r="AE68" s="337"/>
      <c r="AF68" s="337"/>
      <c r="AG68" s="337"/>
      <c r="AH68" s="337"/>
      <c r="AI68" s="337"/>
      <c r="AJ68" s="566"/>
      <c r="AK68" s="566"/>
      <c r="AL68" s="566"/>
      <c r="AM68" s="566"/>
      <c r="AN68" s="566"/>
      <c r="AO68" s="566"/>
      <c r="AP68" s="566"/>
      <c r="AQ68" s="566"/>
      <c r="AR68" s="566"/>
      <c r="AS68" s="566"/>
      <c r="AT68" s="566"/>
      <c r="AU68" s="566"/>
      <c r="AV68" s="602">
        <f t="shared" si="5"/>
        <v>0</v>
      </c>
      <c r="AW68" s="337"/>
      <c r="AX68" s="337"/>
      <c r="AY68" s="337"/>
      <c r="AZ68" s="99"/>
      <c r="BA68" s="102"/>
      <c r="BB68" s="186"/>
      <c r="BC68" s="186"/>
      <c r="BD68" s="186"/>
      <c r="BE68" s="186"/>
    </row>
    <row r="69" spans="1:59" s="631" customFormat="1" ht="30" outlineLevel="7" x14ac:dyDescent="0.25">
      <c r="A69" s="8" t="s">
        <v>35</v>
      </c>
      <c r="B69" s="226" t="s">
        <v>258</v>
      </c>
      <c r="C69" s="10" t="s">
        <v>257</v>
      </c>
      <c r="D69" s="335">
        <v>2810.6</v>
      </c>
      <c r="E69" s="170">
        <v>0</v>
      </c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586">
        <f t="shared" ref="R69" si="26">SUM(F69:Q69)</f>
        <v>0</v>
      </c>
      <c r="S69" s="335">
        <f t="shared" ref="S69:S119" si="27">F69+G69+H69</f>
        <v>0</v>
      </c>
      <c r="T69" s="337">
        <v>0</v>
      </c>
      <c r="U69" s="337">
        <v>2766.4</v>
      </c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337"/>
      <c r="AI69" s="337"/>
      <c r="AJ69" s="566"/>
      <c r="AK69" s="566"/>
      <c r="AL69" s="566"/>
      <c r="AM69" s="566"/>
      <c r="AN69" s="566"/>
      <c r="AO69" s="566"/>
      <c r="AP69" s="566"/>
      <c r="AQ69" s="566"/>
      <c r="AR69" s="566"/>
      <c r="AS69" s="566"/>
      <c r="AT69" s="566"/>
      <c r="AU69" s="566"/>
      <c r="AV69" s="602">
        <f t="shared" si="5"/>
        <v>0</v>
      </c>
      <c r="AW69" s="337"/>
      <c r="AX69" s="337"/>
      <c r="AY69" s="337"/>
      <c r="AZ69" s="99"/>
      <c r="BA69" s="102"/>
      <c r="BB69" s="186"/>
      <c r="BC69" s="186"/>
      <c r="BD69" s="186"/>
      <c r="BE69" s="186"/>
    </row>
    <row r="70" spans="1:59" s="631" customFormat="1" ht="30" outlineLevel="7" x14ac:dyDescent="0.25">
      <c r="A70" s="8"/>
      <c r="B70" s="223" t="s">
        <v>351</v>
      </c>
      <c r="C70" s="10" t="s">
        <v>262</v>
      </c>
      <c r="D70" s="335">
        <v>1032</v>
      </c>
      <c r="E70" s="170">
        <v>0</v>
      </c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586">
        <f t="shared" si="25"/>
        <v>0</v>
      </c>
      <c r="S70" s="335">
        <f t="shared" si="27"/>
        <v>0</v>
      </c>
      <c r="T70" s="337">
        <v>0</v>
      </c>
      <c r="U70" s="337">
        <v>584.29999999999995</v>
      </c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566"/>
      <c r="AK70" s="566"/>
      <c r="AL70" s="566"/>
      <c r="AM70" s="566"/>
      <c r="AN70" s="566"/>
      <c r="AO70" s="566"/>
      <c r="AP70" s="566"/>
      <c r="AQ70" s="566"/>
      <c r="AR70" s="566"/>
      <c r="AS70" s="566"/>
      <c r="AT70" s="566"/>
      <c r="AU70" s="566"/>
      <c r="AV70" s="602">
        <f t="shared" ref="AV70:AV119" si="28">AU70+AT70+AS70+AR70+AQ70+AP70+AO70+AN70+AM70+AL70+AK70+AJ70</f>
        <v>0</v>
      </c>
      <c r="AW70" s="337"/>
      <c r="AX70" s="337"/>
      <c r="AY70" s="337"/>
      <c r="AZ70" s="99"/>
      <c r="BA70" s="102"/>
      <c r="BB70" s="186"/>
      <c r="BC70" s="186"/>
      <c r="BD70" s="186"/>
      <c r="BE70" s="186"/>
    </row>
    <row r="71" spans="1:59" s="631" customFormat="1" ht="75.75" customHeight="1" outlineLevel="7" x14ac:dyDescent="0.25">
      <c r="A71" s="8"/>
      <c r="B71" s="9" t="s">
        <v>353</v>
      </c>
      <c r="C71" s="10" t="s">
        <v>352</v>
      </c>
      <c r="D71" s="335">
        <v>2904.6</v>
      </c>
      <c r="E71" s="170">
        <v>2904.6</v>
      </c>
      <c r="F71" s="176"/>
      <c r="G71" s="176"/>
      <c r="H71" s="176"/>
      <c r="I71" s="176"/>
      <c r="J71" s="176"/>
      <c r="K71" s="176">
        <v>968.2</v>
      </c>
      <c r="L71" s="176">
        <v>968.2</v>
      </c>
      <c r="M71" s="176"/>
      <c r="N71" s="176">
        <v>968.2</v>
      </c>
      <c r="O71" s="176"/>
      <c r="P71" s="176"/>
      <c r="Q71" s="176"/>
      <c r="R71" s="586">
        <f t="shared" si="25"/>
        <v>2904.6000000000004</v>
      </c>
      <c r="S71" s="335">
        <f t="shared" si="27"/>
        <v>0</v>
      </c>
      <c r="T71" s="337">
        <v>663.7</v>
      </c>
      <c r="U71" s="337">
        <f t="shared" ref="U71:U118" si="29">T71</f>
        <v>663.7</v>
      </c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566"/>
      <c r="AK71" s="566"/>
      <c r="AL71" s="566"/>
      <c r="AM71" s="566"/>
      <c r="AN71" s="566"/>
      <c r="AO71" s="566"/>
      <c r="AP71" s="566"/>
      <c r="AQ71" s="566"/>
      <c r="AR71" s="566"/>
      <c r="AS71" s="566"/>
      <c r="AT71" s="566"/>
      <c r="AU71" s="566"/>
      <c r="AV71" s="602">
        <f t="shared" si="28"/>
        <v>0</v>
      </c>
      <c r="AW71" s="337"/>
      <c r="AX71" s="337"/>
      <c r="AY71" s="337"/>
      <c r="AZ71" s="99"/>
      <c r="BA71" s="102"/>
      <c r="BB71" s="186"/>
      <c r="BC71" s="186"/>
      <c r="BD71" s="186"/>
      <c r="BE71" s="186"/>
    </row>
    <row r="72" spans="1:59" s="631" customFormat="1" ht="50.25" customHeight="1" outlineLevel="7" x14ac:dyDescent="0.25">
      <c r="A72" s="8"/>
      <c r="B72" s="9" t="s">
        <v>215</v>
      </c>
      <c r="C72" s="10" t="s">
        <v>214</v>
      </c>
      <c r="D72" s="335">
        <v>0</v>
      </c>
      <c r="E72" s="170">
        <f>21703.1-2233.2</f>
        <v>19469.899999999998</v>
      </c>
      <c r="F72" s="176"/>
      <c r="G72" s="176"/>
      <c r="H72" s="176"/>
      <c r="I72" s="176"/>
      <c r="J72" s="176">
        <v>4988.8</v>
      </c>
      <c r="K72" s="176"/>
      <c r="L72" s="176">
        <f>4953.2+2115.4</f>
        <v>7068.6</v>
      </c>
      <c r="M72" s="176">
        <v>7412.5</v>
      </c>
      <c r="N72" s="176"/>
      <c r="O72" s="176"/>
      <c r="P72" s="176"/>
      <c r="Q72" s="176"/>
      <c r="R72" s="586">
        <f t="shared" si="25"/>
        <v>19469.900000000001</v>
      </c>
      <c r="S72" s="335">
        <f t="shared" si="27"/>
        <v>0</v>
      </c>
      <c r="T72" s="337"/>
      <c r="U72" s="337">
        <f t="shared" si="29"/>
        <v>0</v>
      </c>
      <c r="V72" s="337"/>
      <c r="W72" s="337"/>
      <c r="X72" s="337"/>
      <c r="Y72" s="337"/>
      <c r="Z72" s="337"/>
      <c r="AA72" s="337"/>
      <c r="AB72" s="337"/>
      <c r="AC72" s="337"/>
      <c r="AD72" s="337"/>
      <c r="AE72" s="337"/>
      <c r="AF72" s="337"/>
      <c r="AG72" s="337"/>
      <c r="AH72" s="337"/>
      <c r="AI72" s="337"/>
      <c r="AJ72" s="566"/>
      <c r="AK72" s="566"/>
      <c r="AL72" s="566"/>
      <c r="AM72" s="566"/>
      <c r="AN72" s="566"/>
      <c r="AO72" s="566"/>
      <c r="AP72" s="566"/>
      <c r="AQ72" s="566"/>
      <c r="AR72" s="566"/>
      <c r="AS72" s="566"/>
      <c r="AT72" s="566"/>
      <c r="AU72" s="566"/>
      <c r="AV72" s="602">
        <f t="shared" si="28"/>
        <v>0</v>
      </c>
      <c r="AW72" s="337"/>
      <c r="AX72" s="337"/>
      <c r="AY72" s="337"/>
      <c r="AZ72" s="99"/>
      <c r="BA72" s="102"/>
      <c r="BB72" s="186"/>
      <c r="BC72" s="186"/>
      <c r="BD72" s="186"/>
      <c r="BE72" s="186"/>
    </row>
    <row r="73" spans="1:59" s="631" customFormat="1" ht="50.25" hidden="1" customHeight="1" outlineLevel="7" x14ac:dyDescent="0.25">
      <c r="A73" s="8"/>
      <c r="B73" s="223" t="s">
        <v>448</v>
      </c>
      <c r="C73" s="10" t="s">
        <v>449</v>
      </c>
      <c r="D73" s="335">
        <v>0</v>
      </c>
      <c r="E73" s="170">
        <v>3772.8</v>
      </c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586">
        <f t="shared" si="25"/>
        <v>0</v>
      </c>
      <c r="S73" s="335">
        <f t="shared" si="27"/>
        <v>0</v>
      </c>
      <c r="T73" s="337"/>
      <c r="U73" s="337">
        <f t="shared" si="29"/>
        <v>0</v>
      </c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566"/>
      <c r="AK73" s="566"/>
      <c r="AL73" s="566"/>
      <c r="AM73" s="566"/>
      <c r="AN73" s="566"/>
      <c r="AO73" s="566"/>
      <c r="AP73" s="566"/>
      <c r="AQ73" s="566"/>
      <c r="AR73" s="566"/>
      <c r="AS73" s="566"/>
      <c r="AT73" s="566"/>
      <c r="AU73" s="566"/>
      <c r="AV73" s="602">
        <f t="shared" si="28"/>
        <v>0</v>
      </c>
      <c r="AW73" s="337"/>
      <c r="AX73" s="337"/>
      <c r="AY73" s="337"/>
      <c r="AZ73" s="99"/>
      <c r="BA73" s="102"/>
      <c r="BB73" s="186"/>
      <c r="BC73" s="186"/>
      <c r="BD73" s="186"/>
      <c r="BE73" s="186"/>
    </row>
    <row r="74" spans="1:59" s="631" customFormat="1" ht="33" customHeight="1" outlineLevel="7" x14ac:dyDescent="0.25">
      <c r="A74" s="8"/>
      <c r="B74" s="230" t="s">
        <v>267</v>
      </c>
      <c r="C74" s="10" t="s">
        <v>566</v>
      </c>
      <c r="D74" s="335">
        <v>0</v>
      </c>
      <c r="E74" s="170">
        <v>1692.9</v>
      </c>
      <c r="F74" s="176"/>
      <c r="G74" s="176"/>
      <c r="H74" s="176"/>
      <c r="I74" s="176"/>
      <c r="J74" s="176"/>
      <c r="K74" s="176"/>
      <c r="L74" s="176"/>
      <c r="M74" s="176"/>
      <c r="N74" s="176"/>
      <c r="O74" s="176">
        <v>1692.9</v>
      </c>
      <c r="P74" s="176"/>
      <c r="Q74" s="176"/>
      <c r="R74" s="586">
        <f t="shared" si="25"/>
        <v>1692.9</v>
      </c>
      <c r="S74" s="335">
        <f t="shared" si="27"/>
        <v>0</v>
      </c>
      <c r="T74" s="337"/>
      <c r="U74" s="337">
        <f t="shared" si="29"/>
        <v>0</v>
      </c>
      <c r="V74" s="337"/>
      <c r="W74" s="337"/>
      <c r="X74" s="337"/>
      <c r="Y74" s="337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566"/>
      <c r="AK74" s="566"/>
      <c r="AL74" s="566"/>
      <c r="AM74" s="566"/>
      <c r="AN74" s="566"/>
      <c r="AO74" s="566"/>
      <c r="AP74" s="566"/>
      <c r="AQ74" s="566"/>
      <c r="AR74" s="566"/>
      <c r="AS74" s="566"/>
      <c r="AT74" s="566"/>
      <c r="AU74" s="566"/>
      <c r="AV74" s="602">
        <f t="shared" si="28"/>
        <v>0</v>
      </c>
      <c r="AW74" s="337"/>
      <c r="AX74" s="337"/>
      <c r="AY74" s="337"/>
      <c r="AZ74" s="99"/>
      <c r="BA74" s="102"/>
      <c r="BB74" s="186"/>
      <c r="BC74" s="186"/>
      <c r="BD74" s="186"/>
      <c r="BE74" s="186"/>
    </row>
    <row r="75" spans="1:59" s="631" customFormat="1" ht="46.5" hidden="1" customHeight="1" outlineLevel="7" x14ac:dyDescent="0.25">
      <c r="A75" s="8"/>
      <c r="B75" s="223"/>
      <c r="C75" s="10"/>
      <c r="D75" s="335">
        <v>0</v>
      </c>
      <c r="E75" s="170">
        <v>0</v>
      </c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586">
        <f t="shared" si="25"/>
        <v>0</v>
      </c>
      <c r="S75" s="335">
        <f t="shared" si="27"/>
        <v>0</v>
      </c>
      <c r="T75" s="337"/>
      <c r="U75" s="337">
        <f t="shared" si="29"/>
        <v>0</v>
      </c>
      <c r="V75" s="337"/>
      <c r="W75" s="337"/>
      <c r="X75" s="337"/>
      <c r="Y75" s="337"/>
      <c r="Z75" s="337"/>
      <c r="AA75" s="337"/>
      <c r="AB75" s="337"/>
      <c r="AC75" s="337"/>
      <c r="AD75" s="337"/>
      <c r="AE75" s="337"/>
      <c r="AF75" s="337"/>
      <c r="AG75" s="337"/>
      <c r="AH75" s="337"/>
      <c r="AI75" s="337"/>
      <c r="AJ75" s="566"/>
      <c r="AK75" s="566"/>
      <c r="AL75" s="566"/>
      <c r="AM75" s="566"/>
      <c r="AN75" s="566"/>
      <c r="AO75" s="566"/>
      <c r="AP75" s="566"/>
      <c r="AQ75" s="566"/>
      <c r="AR75" s="566"/>
      <c r="AS75" s="566"/>
      <c r="AT75" s="566"/>
      <c r="AU75" s="566"/>
      <c r="AV75" s="602">
        <f t="shared" si="28"/>
        <v>0</v>
      </c>
      <c r="AW75" s="337"/>
      <c r="AX75" s="337"/>
      <c r="AY75" s="337"/>
      <c r="AZ75" s="99"/>
      <c r="BA75" s="102"/>
      <c r="BB75" s="186"/>
      <c r="BC75" s="186"/>
      <c r="BD75" s="186"/>
      <c r="BE75" s="186"/>
    </row>
    <row r="76" spans="1:59" s="631" customFormat="1" ht="24" customHeight="1" outlineLevel="2" x14ac:dyDescent="0.25">
      <c r="A76" s="8" t="s">
        <v>53</v>
      </c>
      <c r="B76" s="599" t="s">
        <v>125</v>
      </c>
      <c r="C76" s="600"/>
      <c r="D76" s="598">
        <f t="shared" ref="D76:Q76" si="30">SUM(D78:D105)</f>
        <v>399285.3</v>
      </c>
      <c r="E76" s="598">
        <f t="shared" si="30"/>
        <v>405786.30000000005</v>
      </c>
      <c r="F76" s="598">
        <f t="shared" si="30"/>
        <v>26154</v>
      </c>
      <c r="G76" s="598">
        <f t="shared" si="30"/>
        <v>27249.199999999997</v>
      </c>
      <c r="H76" s="598">
        <f t="shared" si="30"/>
        <v>29560.399999999994</v>
      </c>
      <c r="I76" s="598">
        <f t="shared" si="30"/>
        <v>58480</v>
      </c>
      <c r="J76" s="598">
        <f t="shared" si="30"/>
        <v>24169.900000000005</v>
      </c>
      <c r="K76" s="598">
        <f t="shared" si="30"/>
        <v>44900.100000000006</v>
      </c>
      <c r="L76" s="598">
        <f t="shared" si="30"/>
        <v>14328.8</v>
      </c>
      <c r="M76" s="598">
        <f t="shared" si="30"/>
        <v>40359.100000000006</v>
      </c>
      <c r="N76" s="598">
        <f t="shared" si="30"/>
        <v>26100.799999999999</v>
      </c>
      <c r="O76" s="598">
        <f t="shared" si="30"/>
        <v>51415.599999999991</v>
      </c>
      <c r="P76" s="598">
        <f t="shared" si="30"/>
        <v>1577.5</v>
      </c>
      <c r="Q76" s="598">
        <f t="shared" si="30"/>
        <v>52717.4</v>
      </c>
      <c r="R76" s="598">
        <f>SUM(R78:R105)+R77</f>
        <v>406582.40000000008</v>
      </c>
      <c r="S76" s="598">
        <f t="shared" ref="S76:AY76" si="31">SUM(S78:S105)+S77</f>
        <v>85356</v>
      </c>
      <c r="T76" s="598">
        <f t="shared" si="31"/>
        <v>382074.5</v>
      </c>
      <c r="U76" s="598">
        <f t="shared" si="31"/>
        <v>382937.5</v>
      </c>
      <c r="V76" s="598">
        <f t="shared" si="31"/>
        <v>0</v>
      </c>
      <c r="W76" s="598">
        <f t="shared" si="31"/>
        <v>54166.19999999999</v>
      </c>
      <c r="X76" s="598">
        <f t="shared" si="31"/>
        <v>27436.299999999996</v>
      </c>
      <c r="Y76" s="598">
        <f t="shared" si="31"/>
        <v>26729.899999999998</v>
      </c>
      <c r="Z76" s="598">
        <f t="shared" si="31"/>
        <v>0</v>
      </c>
      <c r="AA76" s="598">
        <f t="shared" si="31"/>
        <v>0</v>
      </c>
      <c r="AB76" s="598">
        <f t="shared" si="31"/>
        <v>0</v>
      </c>
      <c r="AC76" s="598">
        <f t="shared" si="31"/>
        <v>0</v>
      </c>
      <c r="AD76" s="598">
        <f t="shared" si="31"/>
        <v>0</v>
      </c>
      <c r="AE76" s="598">
        <f t="shared" si="31"/>
        <v>0</v>
      </c>
      <c r="AF76" s="598">
        <f t="shared" si="31"/>
        <v>0</v>
      </c>
      <c r="AG76" s="598">
        <f t="shared" si="31"/>
        <v>0</v>
      </c>
      <c r="AH76" s="598">
        <f t="shared" si="31"/>
        <v>0</v>
      </c>
      <c r="AI76" s="598">
        <f t="shared" si="31"/>
        <v>0</v>
      </c>
      <c r="AJ76" s="598">
        <f t="shared" si="31"/>
        <v>27436.299999999996</v>
      </c>
      <c r="AK76" s="598">
        <f t="shared" si="31"/>
        <v>26729.899999999998</v>
      </c>
      <c r="AL76" s="598">
        <f t="shared" si="31"/>
        <v>0</v>
      </c>
      <c r="AM76" s="598">
        <f t="shared" si="31"/>
        <v>0</v>
      </c>
      <c r="AN76" s="598">
        <f t="shared" si="31"/>
        <v>0</v>
      </c>
      <c r="AO76" s="598">
        <f t="shared" si="31"/>
        <v>0</v>
      </c>
      <c r="AP76" s="598">
        <f t="shared" si="31"/>
        <v>0</v>
      </c>
      <c r="AQ76" s="598">
        <f t="shared" si="31"/>
        <v>0</v>
      </c>
      <c r="AR76" s="598">
        <f t="shared" si="31"/>
        <v>0</v>
      </c>
      <c r="AS76" s="598">
        <f t="shared" si="31"/>
        <v>0</v>
      </c>
      <c r="AT76" s="598">
        <f t="shared" si="31"/>
        <v>0</v>
      </c>
      <c r="AU76" s="598">
        <f t="shared" si="31"/>
        <v>0</v>
      </c>
      <c r="AV76" s="598">
        <f t="shared" si="31"/>
        <v>54166.19999999999</v>
      </c>
      <c r="AW76" s="598">
        <f t="shared" si="31"/>
        <v>0</v>
      </c>
      <c r="AX76" s="598">
        <f t="shared" ref="AX76" si="32">SUM(AX78:AX105)+AX77</f>
        <v>0</v>
      </c>
      <c r="AY76" s="598">
        <f t="shared" si="31"/>
        <v>0</v>
      </c>
      <c r="AZ76" s="169"/>
      <c r="BA76" s="106"/>
      <c r="BB76" s="187"/>
      <c r="BC76" s="106"/>
      <c r="BD76" s="187"/>
      <c r="BE76" s="187"/>
      <c r="BG76" s="72"/>
    </row>
    <row r="77" spans="1:59" s="631" customFormat="1" ht="30" outlineLevel="7" x14ac:dyDescent="0.25">
      <c r="A77" s="178"/>
      <c r="B77" s="9" t="s">
        <v>271</v>
      </c>
      <c r="C77" s="179" t="s">
        <v>360</v>
      </c>
      <c r="D77" s="337">
        <v>9569.4</v>
      </c>
      <c r="E77" s="170">
        <v>9569.7000000000007</v>
      </c>
      <c r="F77" s="176">
        <v>2392.4</v>
      </c>
      <c r="G77" s="176"/>
      <c r="H77" s="176"/>
      <c r="I77" s="176">
        <v>2392.4</v>
      </c>
      <c r="J77" s="176"/>
      <c r="K77" s="176"/>
      <c r="L77" s="176">
        <v>2392.5</v>
      </c>
      <c r="M77" s="176"/>
      <c r="N77" s="176"/>
      <c r="O77" s="176">
        <v>2392.4</v>
      </c>
      <c r="P77" s="176"/>
      <c r="Q77" s="176"/>
      <c r="R77" s="586">
        <f>SUM(F77:Q77)</f>
        <v>9569.7000000000007</v>
      </c>
      <c r="S77" s="335">
        <f t="shared" si="27"/>
        <v>2392.4</v>
      </c>
      <c r="T77" s="335">
        <v>9753.2000000000007</v>
      </c>
      <c r="U77" s="335">
        <v>9296.2000000000007</v>
      </c>
      <c r="V77" s="335"/>
      <c r="W77" s="335">
        <f>AV77</f>
        <v>2324</v>
      </c>
      <c r="X77" s="335">
        <f>AJ77</f>
        <v>2324</v>
      </c>
      <c r="Y77" s="335"/>
      <c r="Z77" s="335"/>
      <c r="AA77" s="335"/>
      <c r="AB77" s="335"/>
      <c r="AC77" s="335"/>
      <c r="AD77" s="335"/>
      <c r="AE77" s="335"/>
      <c r="AF77" s="335"/>
      <c r="AG77" s="335"/>
      <c r="AH77" s="335"/>
      <c r="AI77" s="335"/>
      <c r="AJ77" s="96">
        <v>2324</v>
      </c>
      <c r="AK77" s="566"/>
      <c r="AL77" s="566"/>
      <c r="AM77" s="566"/>
      <c r="AN77" s="566"/>
      <c r="AO77" s="566"/>
      <c r="AP77" s="566"/>
      <c r="AQ77" s="566"/>
      <c r="AR77" s="566"/>
      <c r="AS77" s="566"/>
      <c r="AT77" s="566"/>
      <c r="AU77" s="566"/>
      <c r="AV77" s="602">
        <f>AU77+AT77+AS77+AR77+AQ77+AP77+AO77+AN77+AM77+AL77+AK77+AJ77</f>
        <v>2324</v>
      </c>
      <c r="AW77" s="337"/>
      <c r="AX77" s="337"/>
      <c r="AY77" s="337"/>
      <c r="AZ77" s="170"/>
      <c r="BA77" s="102"/>
      <c r="BB77" s="186"/>
      <c r="BC77" s="186"/>
      <c r="BD77" s="186"/>
      <c r="BE77" s="186"/>
    </row>
    <row r="78" spans="1:59" s="631" customFormat="1" ht="30" outlineLevel="7" x14ac:dyDescent="0.25">
      <c r="A78" s="8" t="s">
        <v>54</v>
      </c>
      <c r="B78" s="9" t="s">
        <v>126</v>
      </c>
      <c r="C78" s="10" t="s">
        <v>55</v>
      </c>
      <c r="D78" s="337">
        <v>223604.6</v>
      </c>
      <c r="E78" s="335">
        <v>223604.6</v>
      </c>
      <c r="F78" s="176">
        <v>17702</v>
      </c>
      <c r="G78" s="176">
        <v>17702.099999999999</v>
      </c>
      <c r="H78" s="176">
        <v>17702</v>
      </c>
      <c r="I78" s="176">
        <f>17702.1+17702</f>
        <v>35404.1</v>
      </c>
      <c r="J78" s="176">
        <v>10621.2</v>
      </c>
      <c r="K78" s="176">
        <v>28323.200000000001</v>
      </c>
      <c r="L78" s="176">
        <v>7080.8</v>
      </c>
      <c r="M78" s="176">
        <v>7080.8</v>
      </c>
      <c r="N78" s="176">
        <v>17702.099999999999</v>
      </c>
      <c r="O78" s="176">
        <v>35404</v>
      </c>
      <c r="P78" s="176"/>
      <c r="Q78" s="176">
        <f>13778.2+8851</f>
        <v>22629.200000000001</v>
      </c>
      <c r="R78" s="586">
        <f t="shared" ref="R78:R83" si="33">SUM(F78:Q78)</f>
        <v>217351.5</v>
      </c>
      <c r="S78" s="335">
        <f t="shared" si="27"/>
        <v>53106.1</v>
      </c>
      <c r="T78" s="335">
        <v>217949.2</v>
      </c>
      <c r="U78" s="335">
        <f t="shared" si="29"/>
        <v>217949.2</v>
      </c>
      <c r="V78" s="335"/>
      <c r="W78" s="335">
        <f t="shared" ref="W78:W81" si="34">AV78</f>
        <v>34508.6</v>
      </c>
      <c r="X78" s="335">
        <f t="shared" ref="X78:Y81" si="35">AJ78</f>
        <v>17254.3</v>
      </c>
      <c r="Y78" s="335">
        <f>AK78</f>
        <v>17254.3</v>
      </c>
      <c r="Z78" s="335"/>
      <c r="AA78" s="335"/>
      <c r="AB78" s="335"/>
      <c r="AC78" s="335"/>
      <c r="AD78" s="335"/>
      <c r="AE78" s="335"/>
      <c r="AF78" s="335"/>
      <c r="AG78" s="335"/>
      <c r="AH78" s="335"/>
      <c r="AI78" s="335"/>
      <c r="AJ78" s="96">
        <v>17254.3</v>
      </c>
      <c r="AK78" s="571">
        <v>17254.3</v>
      </c>
      <c r="AL78" s="566"/>
      <c r="AM78" s="566"/>
      <c r="AN78" s="566"/>
      <c r="AO78" s="566"/>
      <c r="AP78" s="566"/>
      <c r="AQ78" s="566"/>
      <c r="AR78" s="566"/>
      <c r="AS78" s="566"/>
      <c r="AT78" s="566"/>
      <c r="AU78" s="566"/>
      <c r="AV78" s="602">
        <f t="shared" si="28"/>
        <v>34508.6</v>
      </c>
      <c r="AW78" s="337"/>
      <c r="AX78" s="337"/>
      <c r="AY78" s="337"/>
      <c r="AZ78" s="170"/>
      <c r="BA78" s="102"/>
      <c r="BB78" s="186"/>
      <c r="BC78" s="186"/>
      <c r="BD78" s="186"/>
      <c r="BE78" s="186"/>
    </row>
    <row r="79" spans="1:59" s="631" customFormat="1" ht="45.75" customHeight="1" outlineLevel="7" x14ac:dyDescent="0.25">
      <c r="A79" s="8"/>
      <c r="B79" s="9" t="s">
        <v>269</v>
      </c>
      <c r="C79" s="10" t="s">
        <v>270</v>
      </c>
      <c r="D79" s="337">
        <v>81455.7</v>
      </c>
      <c r="E79" s="335">
        <v>81455.7</v>
      </c>
      <c r="F79" s="176">
        <v>6448.6</v>
      </c>
      <c r="G79" s="176">
        <v>6448.5</v>
      </c>
      <c r="H79" s="176">
        <v>6448.6</v>
      </c>
      <c r="I79" s="176">
        <f>6448.6*2</f>
        <v>12897.2</v>
      </c>
      <c r="J79" s="176">
        <v>3869.1</v>
      </c>
      <c r="K79" s="176">
        <v>10317.700000000001</v>
      </c>
      <c r="L79" s="176">
        <v>2579.5</v>
      </c>
      <c r="M79" s="176">
        <v>2579.4</v>
      </c>
      <c r="N79" s="176">
        <v>6448.6</v>
      </c>
      <c r="O79" s="176">
        <v>12897.1</v>
      </c>
      <c r="P79" s="176"/>
      <c r="Q79" s="176">
        <f>5019.2+3224.3</f>
        <v>8243.5</v>
      </c>
      <c r="R79" s="586">
        <f t="shared" si="33"/>
        <v>79177.8</v>
      </c>
      <c r="S79" s="335">
        <f t="shared" si="27"/>
        <v>19345.7</v>
      </c>
      <c r="T79" s="335">
        <v>81619.100000000006</v>
      </c>
      <c r="U79" s="335">
        <f t="shared" si="29"/>
        <v>81619.100000000006</v>
      </c>
      <c r="V79" s="335"/>
      <c r="W79" s="335">
        <f t="shared" si="34"/>
        <v>12923</v>
      </c>
      <c r="X79" s="335">
        <f t="shared" si="35"/>
        <v>6461.5</v>
      </c>
      <c r="Y79" s="335">
        <f t="shared" si="35"/>
        <v>6461.5</v>
      </c>
      <c r="Z79" s="335"/>
      <c r="AA79" s="335"/>
      <c r="AB79" s="335"/>
      <c r="AC79" s="335"/>
      <c r="AD79" s="335"/>
      <c r="AE79" s="335"/>
      <c r="AF79" s="335"/>
      <c r="AG79" s="335"/>
      <c r="AH79" s="335"/>
      <c r="AI79" s="335"/>
      <c r="AJ79" s="96">
        <v>6461.5</v>
      </c>
      <c r="AK79" s="571">
        <v>6461.5</v>
      </c>
      <c r="AL79" s="566"/>
      <c r="AM79" s="566"/>
      <c r="AN79" s="566"/>
      <c r="AO79" s="566"/>
      <c r="AP79" s="566"/>
      <c r="AQ79" s="566"/>
      <c r="AR79" s="566"/>
      <c r="AS79" s="566"/>
      <c r="AT79" s="566"/>
      <c r="AU79" s="566"/>
      <c r="AV79" s="602">
        <f t="shared" si="28"/>
        <v>12923</v>
      </c>
      <c r="AW79" s="337"/>
      <c r="AX79" s="337"/>
      <c r="AY79" s="337"/>
      <c r="AZ79" s="170"/>
      <c r="BA79" s="102"/>
      <c r="BB79" s="186"/>
      <c r="BC79" s="186"/>
      <c r="BD79" s="186"/>
      <c r="BE79" s="186"/>
    </row>
    <row r="80" spans="1:59" s="631" customFormat="1" ht="81" customHeight="1" outlineLevel="7" x14ac:dyDescent="0.25">
      <c r="A80" s="8" t="s">
        <v>54</v>
      </c>
      <c r="B80" s="11" t="s">
        <v>129</v>
      </c>
      <c r="C80" s="10" t="s">
        <v>58</v>
      </c>
      <c r="D80" s="337">
        <v>1014</v>
      </c>
      <c r="E80" s="335">
        <v>1014</v>
      </c>
      <c r="F80" s="176">
        <v>253.5</v>
      </c>
      <c r="G80" s="176"/>
      <c r="H80" s="176"/>
      <c r="I80" s="176">
        <v>253.5</v>
      </c>
      <c r="J80" s="176"/>
      <c r="K80" s="176"/>
      <c r="L80" s="176">
        <v>253.5</v>
      </c>
      <c r="M80" s="176"/>
      <c r="N80" s="176"/>
      <c r="O80" s="176">
        <v>253.5</v>
      </c>
      <c r="P80" s="176"/>
      <c r="Q80" s="176"/>
      <c r="R80" s="586">
        <f t="shared" si="33"/>
        <v>1014</v>
      </c>
      <c r="S80" s="335">
        <f t="shared" si="27"/>
        <v>253.5</v>
      </c>
      <c r="T80" s="335">
        <v>917</v>
      </c>
      <c r="U80" s="335">
        <f t="shared" si="29"/>
        <v>917</v>
      </c>
      <c r="V80" s="335"/>
      <c r="W80" s="335">
        <f t="shared" si="34"/>
        <v>229.20000000000002</v>
      </c>
      <c r="X80" s="335">
        <f t="shared" si="35"/>
        <v>229.3</v>
      </c>
      <c r="Y80" s="335">
        <f t="shared" si="35"/>
        <v>-0.1</v>
      </c>
      <c r="Z80" s="335"/>
      <c r="AA80" s="335"/>
      <c r="AB80" s="335"/>
      <c r="AC80" s="335"/>
      <c r="AD80" s="335"/>
      <c r="AE80" s="335"/>
      <c r="AF80" s="335"/>
      <c r="AG80" s="335"/>
      <c r="AH80" s="335"/>
      <c r="AI80" s="335"/>
      <c r="AJ80" s="96">
        <v>229.3</v>
      </c>
      <c r="AK80" s="571">
        <v>-0.1</v>
      </c>
      <c r="AL80" s="566"/>
      <c r="AM80" s="566"/>
      <c r="AN80" s="566"/>
      <c r="AO80" s="566"/>
      <c r="AP80" s="566"/>
      <c r="AQ80" s="566"/>
      <c r="AR80" s="566"/>
      <c r="AS80" s="566"/>
      <c r="AT80" s="566"/>
      <c r="AU80" s="566"/>
      <c r="AV80" s="602">
        <f t="shared" si="28"/>
        <v>229.20000000000002</v>
      </c>
      <c r="AW80" s="337"/>
      <c r="AX80" s="337"/>
      <c r="AY80" s="337"/>
      <c r="AZ80" s="170"/>
      <c r="BA80" s="102"/>
      <c r="BB80" s="186"/>
      <c r="BC80" s="186"/>
      <c r="BD80" s="186"/>
      <c r="BE80" s="186"/>
    </row>
    <row r="81" spans="1:57" s="631" customFormat="1" ht="121.5" customHeight="1" outlineLevel="7" x14ac:dyDescent="0.25">
      <c r="A81" s="8" t="s">
        <v>54</v>
      </c>
      <c r="B81" s="11" t="s">
        <v>131</v>
      </c>
      <c r="C81" s="10" t="s">
        <v>68</v>
      </c>
      <c r="D81" s="337">
        <v>999.8</v>
      </c>
      <c r="E81" s="170">
        <v>999.8</v>
      </c>
      <c r="F81" s="176">
        <v>250</v>
      </c>
      <c r="G81" s="176"/>
      <c r="H81" s="176"/>
      <c r="I81" s="176">
        <v>249.9</v>
      </c>
      <c r="J81" s="176"/>
      <c r="K81" s="176"/>
      <c r="L81" s="176">
        <v>249.9</v>
      </c>
      <c r="M81" s="176"/>
      <c r="N81" s="176"/>
      <c r="O81" s="176">
        <v>250</v>
      </c>
      <c r="P81" s="176"/>
      <c r="Q81" s="176"/>
      <c r="R81" s="586">
        <f>SUM(F81:Q81)</f>
        <v>999.8</v>
      </c>
      <c r="S81" s="335">
        <f t="shared" si="27"/>
        <v>250</v>
      </c>
      <c r="T81" s="335">
        <v>1033.3</v>
      </c>
      <c r="U81" s="335">
        <f>T81</f>
        <v>1033.3</v>
      </c>
      <c r="V81" s="335"/>
      <c r="W81" s="335">
        <f t="shared" si="34"/>
        <v>258.3</v>
      </c>
      <c r="X81" s="335">
        <f t="shared" si="35"/>
        <v>258.3</v>
      </c>
      <c r="Y81" s="335"/>
      <c r="Z81" s="335"/>
      <c r="AA81" s="335"/>
      <c r="AB81" s="335"/>
      <c r="AC81" s="335"/>
      <c r="AD81" s="335"/>
      <c r="AE81" s="335"/>
      <c r="AF81" s="335"/>
      <c r="AG81" s="335"/>
      <c r="AH81" s="335"/>
      <c r="AI81" s="335"/>
      <c r="AJ81" s="96">
        <v>258.3</v>
      </c>
      <c r="AK81" s="566"/>
      <c r="AL81" s="566"/>
      <c r="AM81" s="566"/>
      <c r="AN81" s="566"/>
      <c r="AO81" s="566"/>
      <c r="AP81" s="566"/>
      <c r="AQ81" s="566"/>
      <c r="AR81" s="566"/>
      <c r="AS81" s="566"/>
      <c r="AT81" s="566"/>
      <c r="AU81" s="566"/>
      <c r="AV81" s="602">
        <f>AU81+AT81+AS81+AR81+AQ81+AP81+AO81+AN81+AM81+AL81+AK81+AJ81</f>
        <v>258.3</v>
      </c>
      <c r="AW81" s="337"/>
      <c r="AX81" s="337"/>
      <c r="AY81" s="337"/>
      <c r="AZ81" s="170"/>
      <c r="BA81" s="102"/>
      <c r="BB81" s="186"/>
      <c r="BC81" s="186"/>
      <c r="BD81" s="186"/>
      <c r="BE81" s="186"/>
    </row>
    <row r="82" spans="1:57" s="631" customFormat="1" ht="91.5" customHeight="1" outlineLevel="7" x14ac:dyDescent="0.25">
      <c r="A82" s="8" t="s">
        <v>54</v>
      </c>
      <c r="B82" s="11" t="s">
        <v>128</v>
      </c>
      <c r="C82" s="20" t="s">
        <v>57</v>
      </c>
      <c r="D82" s="337">
        <v>485.2</v>
      </c>
      <c r="E82" s="170">
        <v>242.6</v>
      </c>
      <c r="F82" s="176"/>
      <c r="G82" s="176"/>
      <c r="H82" s="176"/>
      <c r="I82" s="176">
        <v>121.3</v>
      </c>
      <c r="J82" s="176"/>
      <c r="K82" s="176"/>
      <c r="L82" s="176">
        <v>60.6</v>
      </c>
      <c r="M82" s="176"/>
      <c r="N82" s="176"/>
      <c r="O82" s="176"/>
      <c r="P82" s="176"/>
      <c r="Q82" s="176">
        <v>-181.9</v>
      </c>
      <c r="R82" s="586">
        <f>SUM(F82:Q82)</f>
        <v>0</v>
      </c>
      <c r="S82" s="335">
        <f t="shared" si="27"/>
        <v>0</v>
      </c>
      <c r="T82" s="335">
        <v>403.8</v>
      </c>
      <c r="U82" s="335">
        <f>T82</f>
        <v>403.8</v>
      </c>
      <c r="V82" s="335"/>
      <c r="W82" s="335"/>
      <c r="X82" s="335"/>
      <c r="Y82" s="335"/>
      <c r="Z82" s="335"/>
      <c r="AA82" s="335"/>
      <c r="AB82" s="335"/>
      <c r="AC82" s="335"/>
      <c r="AD82" s="335"/>
      <c r="AE82" s="335"/>
      <c r="AF82" s="335"/>
      <c r="AG82" s="335"/>
      <c r="AH82" s="335"/>
      <c r="AI82" s="335"/>
      <c r="AJ82" s="96"/>
      <c r="AK82" s="566"/>
      <c r="AL82" s="566"/>
      <c r="AM82" s="566"/>
      <c r="AN82" s="566"/>
      <c r="AO82" s="566"/>
      <c r="AP82" s="566"/>
      <c r="AQ82" s="566"/>
      <c r="AR82" s="566"/>
      <c r="AS82" s="566"/>
      <c r="AT82" s="566"/>
      <c r="AU82" s="566"/>
      <c r="AV82" s="602">
        <f>AU82+AT82+AS82+AR82+AQ82+AP82+AO82+AN82+AM82+AL82+AK82+AJ82</f>
        <v>0</v>
      </c>
      <c r="AW82" s="337"/>
      <c r="AX82" s="337"/>
      <c r="AY82" s="337"/>
      <c r="AZ82" s="170"/>
      <c r="BA82" s="102"/>
      <c r="BB82" s="186"/>
      <c r="BC82" s="186"/>
      <c r="BD82" s="186"/>
      <c r="BE82" s="186"/>
    </row>
    <row r="83" spans="1:57" s="631" customFormat="1" ht="120" outlineLevel="7" x14ac:dyDescent="0.25">
      <c r="A83" s="8"/>
      <c r="B83" s="11" t="s">
        <v>567</v>
      </c>
      <c r="C83" s="10" t="s">
        <v>487</v>
      </c>
      <c r="D83" s="337">
        <v>0</v>
      </c>
      <c r="E83" s="335">
        <v>546.79999999999995</v>
      </c>
      <c r="F83" s="285"/>
      <c r="G83" s="176">
        <v>91.1</v>
      </c>
      <c r="H83" s="176">
        <v>45.6</v>
      </c>
      <c r="I83" s="176">
        <v>45.6</v>
      </c>
      <c r="J83" s="176">
        <v>141.19999999999999</v>
      </c>
      <c r="K83" s="176"/>
      <c r="L83" s="176">
        <v>22.8</v>
      </c>
      <c r="M83" s="176">
        <v>18.3</v>
      </c>
      <c r="N83" s="176">
        <v>45.5</v>
      </c>
      <c r="O83" s="176">
        <v>45.6</v>
      </c>
      <c r="P83" s="176">
        <v>45.6</v>
      </c>
      <c r="Q83" s="176">
        <v>45.5</v>
      </c>
      <c r="R83" s="586">
        <f t="shared" si="33"/>
        <v>546.80000000000007</v>
      </c>
      <c r="S83" s="335">
        <f t="shared" si="27"/>
        <v>136.69999999999999</v>
      </c>
      <c r="T83" s="335">
        <v>546.79999999999995</v>
      </c>
      <c r="U83" s="335">
        <f t="shared" si="29"/>
        <v>546.79999999999995</v>
      </c>
      <c r="V83" s="335"/>
      <c r="W83" s="335">
        <f>AV83</f>
        <v>45.6</v>
      </c>
      <c r="X83" s="335"/>
      <c r="Y83" s="335">
        <f>AK83</f>
        <v>45.6</v>
      </c>
      <c r="Z83" s="335"/>
      <c r="AA83" s="335"/>
      <c r="AB83" s="335"/>
      <c r="AC83" s="335"/>
      <c r="AD83" s="335"/>
      <c r="AE83" s="335"/>
      <c r="AF83" s="335"/>
      <c r="AG83" s="335"/>
      <c r="AH83" s="335"/>
      <c r="AI83" s="335"/>
      <c r="AJ83" s="96"/>
      <c r="AK83" s="571">
        <v>45.6</v>
      </c>
      <c r="AL83" s="566"/>
      <c r="AM83" s="566"/>
      <c r="AN83" s="566"/>
      <c r="AO83" s="566"/>
      <c r="AP83" s="566"/>
      <c r="AQ83" s="566"/>
      <c r="AR83" s="566"/>
      <c r="AS83" s="566"/>
      <c r="AT83" s="566"/>
      <c r="AU83" s="566"/>
      <c r="AV83" s="602">
        <f t="shared" si="28"/>
        <v>45.6</v>
      </c>
      <c r="AW83" s="337"/>
      <c r="AX83" s="337"/>
      <c r="AY83" s="337"/>
      <c r="AZ83" s="170"/>
      <c r="BA83" s="102"/>
      <c r="BB83" s="186"/>
      <c r="BC83" s="186"/>
      <c r="BD83" s="186"/>
      <c r="BE83" s="186"/>
    </row>
    <row r="84" spans="1:57" s="631" customFormat="1" ht="75.75" customHeight="1" outlineLevel="7" thickBot="1" x14ac:dyDescent="0.3">
      <c r="A84" s="8" t="s">
        <v>54</v>
      </c>
      <c r="B84" s="293" t="s">
        <v>133</v>
      </c>
      <c r="C84" s="282" t="s">
        <v>73</v>
      </c>
      <c r="D84" s="337">
        <v>747.4</v>
      </c>
      <c r="E84" s="335">
        <v>747.4</v>
      </c>
      <c r="F84" s="422">
        <v>186.9</v>
      </c>
      <c r="G84" s="431"/>
      <c r="H84" s="261"/>
      <c r="I84" s="261">
        <v>186.8</v>
      </c>
      <c r="J84" s="261"/>
      <c r="K84" s="261"/>
      <c r="L84" s="261">
        <v>186.8</v>
      </c>
      <c r="M84" s="261"/>
      <c r="N84" s="261"/>
      <c r="O84" s="261">
        <v>186.9</v>
      </c>
      <c r="P84" s="261"/>
      <c r="Q84" s="261"/>
      <c r="R84" s="586">
        <f t="shared" ref="R84:R105" si="36">SUM(F84:Q84)</f>
        <v>747.4</v>
      </c>
      <c r="S84" s="335">
        <f t="shared" si="27"/>
        <v>186.9</v>
      </c>
      <c r="T84" s="335">
        <v>658.6</v>
      </c>
      <c r="U84" s="335">
        <f t="shared" si="29"/>
        <v>658.6</v>
      </c>
      <c r="V84" s="335"/>
      <c r="W84" s="335">
        <f>AV84</f>
        <v>164.7</v>
      </c>
      <c r="X84" s="335">
        <f>AJ84</f>
        <v>164.7</v>
      </c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96">
        <v>164.7</v>
      </c>
      <c r="AK84" s="566"/>
      <c r="AL84" s="566"/>
      <c r="AM84" s="566"/>
      <c r="AN84" s="566"/>
      <c r="AO84" s="566"/>
      <c r="AP84" s="566"/>
      <c r="AQ84" s="566"/>
      <c r="AR84" s="566"/>
      <c r="AS84" s="566"/>
      <c r="AT84" s="566"/>
      <c r="AU84" s="566"/>
      <c r="AV84" s="602">
        <f t="shared" si="28"/>
        <v>164.7</v>
      </c>
      <c r="AW84" s="337"/>
      <c r="AX84" s="337"/>
      <c r="AY84" s="337"/>
      <c r="AZ84" s="170"/>
      <c r="BA84" s="102"/>
      <c r="BB84" s="186"/>
      <c r="BC84" s="186"/>
      <c r="BD84" s="186"/>
      <c r="BE84" s="186"/>
    </row>
    <row r="85" spans="1:57" s="631" customFormat="1" ht="97.5" customHeight="1" outlineLevel="5" x14ac:dyDescent="0.25">
      <c r="A85" s="8" t="s">
        <v>74</v>
      </c>
      <c r="B85" s="177" t="s">
        <v>276</v>
      </c>
      <c r="C85" s="247" t="s">
        <v>277</v>
      </c>
      <c r="D85" s="337">
        <v>2932.6</v>
      </c>
      <c r="E85" s="335">
        <v>2932.6</v>
      </c>
      <c r="F85" s="253">
        <v>733.2</v>
      </c>
      <c r="G85" s="253">
        <v>-0.1</v>
      </c>
      <c r="H85" s="253"/>
      <c r="I85" s="253">
        <v>733.2</v>
      </c>
      <c r="J85" s="253"/>
      <c r="K85" s="253"/>
      <c r="L85" s="253">
        <v>733.2</v>
      </c>
      <c r="M85" s="253"/>
      <c r="N85" s="253"/>
      <c r="O85" s="253">
        <v>733.1</v>
      </c>
      <c r="P85" s="253"/>
      <c r="Q85" s="253"/>
      <c r="R85" s="586">
        <f t="shared" si="36"/>
        <v>2932.6</v>
      </c>
      <c r="S85" s="335">
        <f t="shared" si="27"/>
        <v>733.1</v>
      </c>
      <c r="T85" s="335">
        <v>2762.5</v>
      </c>
      <c r="U85" s="335">
        <f t="shared" si="29"/>
        <v>2762.5</v>
      </c>
      <c r="V85" s="335"/>
      <c r="W85" s="335">
        <f>AV85</f>
        <v>690.6</v>
      </c>
      <c r="X85" s="335">
        <f>AJ85</f>
        <v>690.6</v>
      </c>
      <c r="Y85" s="335"/>
      <c r="Z85" s="335"/>
      <c r="AA85" s="335"/>
      <c r="AB85" s="335"/>
      <c r="AC85" s="335"/>
      <c r="AD85" s="335"/>
      <c r="AE85" s="335"/>
      <c r="AF85" s="335"/>
      <c r="AG85" s="335"/>
      <c r="AH85" s="335"/>
      <c r="AI85" s="335"/>
      <c r="AJ85" s="96">
        <v>690.6</v>
      </c>
      <c r="AK85" s="566"/>
      <c r="AL85" s="566"/>
      <c r="AM85" s="566"/>
      <c r="AN85" s="566"/>
      <c r="AO85" s="566"/>
      <c r="AP85" s="566"/>
      <c r="AQ85" s="566"/>
      <c r="AR85" s="566"/>
      <c r="AS85" s="566"/>
      <c r="AT85" s="566"/>
      <c r="AU85" s="566"/>
      <c r="AV85" s="602">
        <f t="shared" si="28"/>
        <v>690.6</v>
      </c>
      <c r="AW85" s="337"/>
      <c r="AX85" s="337"/>
      <c r="AY85" s="337"/>
      <c r="AZ85" s="170"/>
      <c r="BA85" s="102"/>
      <c r="BB85" s="186"/>
      <c r="BC85" s="186"/>
      <c r="BD85" s="186"/>
      <c r="BE85" s="186"/>
    </row>
    <row r="86" spans="1:57" s="631" customFormat="1" ht="45" outlineLevel="7" x14ac:dyDescent="0.25">
      <c r="A86" s="8" t="s">
        <v>54</v>
      </c>
      <c r="B86" s="11" t="s">
        <v>130</v>
      </c>
      <c r="C86" s="10" t="s">
        <v>63</v>
      </c>
      <c r="D86" s="337">
        <v>531.20000000000005</v>
      </c>
      <c r="E86" s="335">
        <v>531.20000000000005</v>
      </c>
      <c r="F86" s="176">
        <v>531.20000000000005</v>
      </c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586">
        <f t="shared" ref="R86:R100" si="37">SUM(F86:Q86)</f>
        <v>531.20000000000005</v>
      </c>
      <c r="S86" s="335">
        <f t="shared" si="27"/>
        <v>531.20000000000005</v>
      </c>
      <c r="T86" s="335">
        <v>961.7</v>
      </c>
      <c r="U86" s="335">
        <f>T86</f>
        <v>961.7</v>
      </c>
      <c r="V86" s="335"/>
      <c r="W86" s="335"/>
      <c r="X86" s="335"/>
      <c r="Y86" s="335"/>
      <c r="Z86" s="335"/>
      <c r="AA86" s="335"/>
      <c r="AB86" s="335"/>
      <c r="AC86" s="335"/>
      <c r="AD86" s="335"/>
      <c r="AE86" s="335"/>
      <c r="AF86" s="335"/>
      <c r="AG86" s="335"/>
      <c r="AH86" s="335"/>
      <c r="AI86" s="335"/>
      <c r="AJ86" s="96"/>
      <c r="AK86" s="566"/>
      <c r="AL86" s="566"/>
      <c r="AM86" s="566"/>
      <c r="AN86" s="566"/>
      <c r="AO86" s="566"/>
      <c r="AP86" s="566"/>
      <c r="AQ86" s="566"/>
      <c r="AR86" s="566"/>
      <c r="AS86" s="566"/>
      <c r="AT86" s="566"/>
      <c r="AU86" s="566"/>
      <c r="AV86" s="602">
        <f t="shared" si="28"/>
        <v>0</v>
      </c>
      <c r="AW86" s="337"/>
      <c r="AX86" s="337"/>
      <c r="AY86" s="337"/>
      <c r="AZ86" s="170"/>
      <c r="BA86" s="102"/>
      <c r="BB86" s="186"/>
      <c r="BC86" s="186"/>
      <c r="BD86" s="186"/>
      <c r="BE86" s="186"/>
    </row>
    <row r="87" spans="1:57" s="631" customFormat="1" ht="90" outlineLevel="7" x14ac:dyDescent="0.25">
      <c r="A87" s="8"/>
      <c r="B87" s="2" t="s">
        <v>78</v>
      </c>
      <c r="C87" s="10" t="s">
        <v>77</v>
      </c>
      <c r="D87" s="337">
        <v>42412.5</v>
      </c>
      <c r="E87" s="170">
        <v>38566.9</v>
      </c>
      <c r="F87" s="176"/>
      <c r="G87" s="176"/>
      <c r="H87" s="176"/>
      <c r="I87" s="176"/>
      <c r="J87" s="176">
        <v>2266.9</v>
      </c>
      <c r="K87" s="176"/>
      <c r="L87" s="176"/>
      <c r="M87" s="176">
        <v>18113.7</v>
      </c>
      <c r="N87" s="176"/>
      <c r="O87" s="176"/>
      <c r="P87" s="176"/>
      <c r="Q87" s="176">
        <v>18186.3</v>
      </c>
      <c r="R87" s="586">
        <f t="shared" si="37"/>
        <v>38566.9</v>
      </c>
      <c r="S87" s="335">
        <f t="shared" si="27"/>
        <v>0</v>
      </c>
      <c r="T87" s="335">
        <v>46200</v>
      </c>
      <c r="U87" s="335">
        <v>47520</v>
      </c>
      <c r="V87" s="335"/>
      <c r="W87" s="335"/>
      <c r="X87" s="335"/>
      <c r="Y87" s="335"/>
      <c r="Z87" s="335"/>
      <c r="AA87" s="335"/>
      <c r="AB87" s="335"/>
      <c r="AC87" s="335"/>
      <c r="AD87" s="335"/>
      <c r="AE87" s="335"/>
      <c r="AF87" s="335"/>
      <c r="AG87" s="335"/>
      <c r="AH87" s="335"/>
      <c r="AI87" s="335"/>
      <c r="AJ87" s="96"/>
      <c r="AK87" s="566"/>
      <c r="AL87" s="566"/>
      <c r="AM87" s="566"/>
      <c r="AN87" s="566"/>
      <c r="AO87" s="566"/>
      <c r="AP87" s="566"/>
      <c r="AQ87" s="566"/>
      <c r="AR87" s="566"/>
      <c r="AS87" s="566"/>
      <c r="AT87" s="566"/>
      <c r="AU87" s="566"/>
      <c r="AV87" s="602">
        <f t="shared" si="28"/>
        <v>0</v>
      </c>
      <c r="AW87" s="337"/>
      <c r="AX87" s="337"/>
      <c r="AY87" s="337"/>
      <c r="AZ87" s="170"/>
      <c r="BA87" s="102"/>
      <c r="BB87" s="186"/>
      <c r="BC87" s="186"/>
      <c r="BD87" s="186"/>
      <c r="BE87" s="186"/>
    </row>
    <row r="88" spans="1:57" s="631" customFormat="1" ht="45" outlineLevel="7" x14ac:dyDescent="0.25">
      <c r="A88" s="8" t="s">
        <v>80</v>
      </c>
      <c r="B88" s="238" t="s">
        <v>134</v>
      </c>
      <c r="C88" s="10" t="s">
        <v>79</v>
      </c>
      <c r="D88" s="337">
        <v>6.5</v>
      </c>
      <c r="E88" s="170">
        <v>6.5</v>
      </c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>
        <v>6.5</v>
      </c>
      <c r="Q88" s="176"/>
      <c r="R88" s="586">
        <f t="shared" si="37"/>
        <v>6.5</v>
      </c>
      <c r="S88" s="335">
        <f t="shared" si="27"/>
        <v>0</v>
      </c>
      <c r="T88" s="335">
        <v>67</v>
      </c>
      <c r="U88" s="335">
        <f t="shared" ref="U88:U102" si="38">T88</f>
        <v>67</v>
      </c>
      <c r="V88" s="335"/>
      <c r="W88" s="335"/>
      <c r="X88" s="335"/>
      <c r="Y88" s="335"/>
      <c r="Z88" s="335"/>
      <c r="AA88" s="335"/>
      <c r="AB88" s="335"/>
      <c r="AC88" s="335"/>
      <c r="AD88" s="335"/>
      <c r="AE88" s="335"/>
      <c r="AF88" s="335"/>
      <c r="AG88" s="335"/>
      <c r="AH88" s="335"/>
      <c r="AI88" s="335"/>
      <c r="AJ88" s="96"/>
      <c r="AK88" s="566"/>
      <c r="AL88" s="566"/>
      <c r="AM88" s="566"/>
      <c r="AN88" s="566"/>
      <c r="AO88" s="566"/>
      <c r="AP88" s="566"/>
      <c r="AQ88" s="566"/>
      <c r="AR88" s="566"/>
      <c r="AS88" s="566"/>
      <c r="AT88" s="566"/>
      <c r="AU88" s="566"/>
      <c r="AV88" s="602">
        <f t="shared" si="28"/>
        <v>0</v>
      </c>
      <c r="AW88" s="337"/>
      <c r="AX88" s="337"/>
      <c r="AY88" s="337"/>
      <c r="AZ88" s="170"/>
      <c r="BA88" s="102"/>
      <c r="BB88" s="186"/>
      <c r="BC88" s="186"/>
      <c r="BD88" s="186"/>
      <c r="BE88" s="186"/>
    </row>
    <row r="89" spans="1:57" s="631" customFormat="1" ht="76.5" customHeight="1" outlineLevel="7" x14ac:dyDescent="0.25">
      <c r="A89" s="8"/>
      <c r="B89" s="21" t="s">
        <v>679</v>
      </c>
      <c r="C89" s="10" t="s">
        <v>680</v>
      </c>
      <c r="D89" s="337"/>
      <c r="E89" s="170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586">
        <f t="shared" si="37"/>
        <v>0</v>
      </c>
      <c r="S89" s="335">
        <f t="shared" si="27"/>
        <v>0</v>
      </c>
      <c r="T89" s="335">
        <v>1163.0999999999999</v>
      </c>
      <c r="U89" s="335">
        <f t="shared" si="38"/>
        <v>1163.0999999999999</v>
      </c>
      <c r="V89" s="335"/>
      <c r="W89" s="335"/>
      <c r="X89" s="335"/>
      <c r="Y89" s="335"/>
      <c r="Z89" s="335"/>
      <c r="AA89" s="335"/>
      <c r="AB89" s="335"/>
      <c r="AC89" s="335"/>
      <c r="AD89" s="335"/>
      <c r="AE89" s="335"/>
      <c r="AF89" s="335"/>
      <c r="AG89" s="335"/>
      <c r="AH89" s="335"/>
      <c r="AI89" s="335"/>
      <c r="AJ89" s="96"/>
      <c r="AK89" s="566"/>
      <c r="AL89" s="566"/>
      <c r="AM89" s="566"/>
      <c r="AN89" s="566"/>
      <c r="AO89" s="566"/>
      <c r="AP89" s="566"/>
      <c r="AQ89" s="566"/>
      <c r="AR89" s="566"/>
      <c r="AS89" s="566"/>
      <c r="AT89" s="566"/>
      <c r="AU89" s="566"/>
      <c r="AV89" s="602">
        <f t="shared" si="28"/>
        <v>0</v>
      </c>
      <c r="AW89" s="337"/>
      <c r="AX89" s="337"/>
      <c r="AY89" s="337"/>
      <c r="AZ89" s="170"/>
      <c r="BA89" s="102"/>
      <c r="BB89" s="186"/>
      <c r="BC89" s="186"/>
      <c r="BD89" s="186"/>
      <c r="BE89" s="186"/>
    </row>
    <row r="90" spans="1:57" s="631" customFormat="1" ht="65.25" customHeight="1" outlineLevel="7" x14ac:dyDescent="0.25">
      <c r="A90" s="8"/>
      <c r="B90" s="9" t="s">
        <v>142</v>
      </c>
      <c r="C90" s="10" t="s">
        <v>141</v>
      </c>
      <c r="D90" s="337"/>
      <c r="E90" s="170">
        <f>17967.6-91.3</f>
        <v>17876.3</v>
      </c>
      <c r="F90" s="176"/>
      <c r="G90" s="176">
        <v>3007.6</v>
      </c>
      <c r="H90" s="176">
        <v>1503.8</v>
      </c>
      <c r="I90" s="176">
        <v>1503.8</v>
      </c>
      <c r="J90" s="176">
        <v>4439.8999999999996</v>
      </c>
      <c r="K90" s="176"/>
      <c r="L90" s="176">
        <v>716.1</v>
      </c>
      <c r="M90" s="176">
        <v>716.1</v>
      </c>
      <c r="N90" s="176">
        <v>1525.4</v>
      </c>
      <c r="O90" s="176">
        <v>1525.4</v>
      </c>
      <c r="P90" s="176">
        <v>1525.4</v>
      </c>
      <c r="Q90" s="176">
        <v>1412.8</v>
      </c>
      <c r="R90" s="586">
        <f t="shared" si="37"/>
        <v>17876.3</v>
      </c>
      <c r="S90" s="335">
        <f t="shared" si="27"/>
        <v>4511.3999999999996</v>
      </c>
      <c r="T90" s="335">
        <v>17811.400000000001</v>
      </c>
      <c r="U90" s="335">
        <f t="shared" si="38"/>
        <v>17811.400000000001</v>
      </c>
      <c r="V90" s="335"/>
      <c r="W90" s="335">
        <f>AV90</f>
        <v>2968.6</v>
      </c>
      <c r="X90" s="335"/>
      <c r="Y90" s="335">
        <f>AK90</f>
        <v>2968.6</v>
      </c>
      <c r="Z90" s="335"/>
      <c r="AA90" s="335"/>
      <c r="AB90" s="335"/>
      <c r="AC90" s="335"/>
      <c r="AD90" s="335"/>
      <c r="AE90" s="335"/>
      <c r="AF90" s="335"/>
      <c r="AG90" s="335"/>
      <c r="AH90" s="335"/>
      <c r="AI90" s="335"/>
      <c r="AJ90" s="96"/>
      <c r="AK90" s="571">
        <v>2968.6</v>
      </c>
      <c r="AL90" s="566"/>
      <c r="AM90" s="566"/>
      <c r="AN90" s="566"/>
      <c r="AO90" s="566"/>
      <c r="AP90" s="566"/>
      <c r="AQ90" s="566"/>
      <c r="AR90" s="566"/>
      <c r="AS90" s="566"/>
      <c r="AT90" s="566"/>
      <c r="AU90" s="566"/>
      <c r="AV90" s="602">
        <f t="shared" si="28"/>
        <v>2968.6</v>
      </c>
      <c r="AW90" s="337"/>
      <c r="AX90" s="337"/>
      <c r="AY90" s="337"/>
      <c r="AZ90" s="170"/>
      <c r="BA90" s="102"/>
      <c r="BB90" s="186"/>
      <c r="BC90" s="186"/>
      <c r="BD90" s="186"/>
      <c r="BE90" s="186"/>
    </row>
    <row r="91" spans="1:57" s="631" customFormat="1" ht="75" customHeight="1" outlineLevel="7" x14ac:dyDescent="0.25">
      <c r="A91" s="8" t="s">
        <v>54</v>
      </c>
      <c r="B91" s="9" t="s">
        <v>127</v>
      </c>
      <c r="C91" s="10" t="s">
        <v>56</v>
      </c>
      <c r="D91" s="337">
        <v>179.8</v>
      </c>
      <c r="E91" s="170">
        <v>194.6</v>
      </c>
      <c r="F91" s="176">
        <v>48.6</v>
      </c>
      <c r="G91" s="176"/>
      <c r="H91" s="176"/>
      <c r="I91" s="176">
        <v>48.7</v>
      </c>
      <c r="J91" s="176"/>
      <c r="K91" s="176"/>
      <c r="L91" s="176">
        <v>48.6</v>
      </c>
      <c r="M91" s="176"/>
      <c r="N91" s="176"/>
      <c r="O91" s="176">
        <v>48.7</v>
      </c>
      <c r="P91" s="176"/>
      <c r="Q91" s="176"/>
      <c r="R91" s="586">
        <f t="shared" si="37"/>
        <v>194.60000000000002</v>
      </c>
      <c r="S91" s="335">
        <f t="shared" si="27"/>
        <v>48.6</v>
      </c>
      <c r="T91" s="335">
        <v>214.3</v>
      </c>
      <c r="U91" s="335">
        <f t="shared" si="38"/>
        <v>214.3</v>
      </c>
      <c r="V91" s="335"/>
      <c r="W91" s="335">
        <f>AV91</f>
        <v>53.6</v>
      </c>
      <c r="X91" s="335">
        <f>AJ91</f>
        <v>53.6</v>
      </c>
      <c r="Y91" s="335"/>
      <c r="Z91" s="335"/>
      <c r="AA91" s="335"/>
      <c r="AB91" s="335"/>
      <c r="AC91" s="335"/>
      <c r="AD91" s="335"/>
      <c r="AE91" s="335"/>
      <c r="AF91" s="335"/>
      <c r="AG91" s="335"/>
      <c r="AH91" s="335"/>
      <c r="AI91" s="335"/>
      <c r="AJ91" s="96">
        <v>53.6</v>
      </c>
      <c r="AK91" s="566"/>
      <c r="AL91" s="566"/>
      <c r="AM91" s="566"/>
      <c r="AN91" s="566"/>
      <c r="AO91" s="566"/>
      <c r="AP91" s="566"/>
      <c r="AQ91" s="566"/>
      <c r="AR91" s="566"/>
      <c r="AS91" s="566"/>
      <c r="AT91" s="566"/>
      <c r="AU91" s="566"/>
      <c r="AV91" s="602">
        <f t="shared" si="28"/>
        <v>53.6</v>
      </c>
      <c r="AW91" s="337"/>
      <c r="AX91" s="337"/>
      <c r="AY91" s="337"/>
      <c r="AZ91" s="170"/>
      <c r="BA91" s="102"/>
      <c r="BB91" s="186"/>
      <c r="BC91" s="186"/>
      <c r="BD91" s="186"/>
      <c r="BE91" s="186"/>
    </row>
    <row r="92" spans="1:57" s="631" customFormat="1" ht="120" outlineLevel="7" x14ac:dyDescent="0.25">
      <c r="A92" s="8"/>
      <c r="B92" s="237" t="s">
        <v>260</v>
      </c>
      <c r="C92" s="10" t="s">
        <v>70</v>
      </c>
      <c r="D92" s="337">
        <v>15</v>
      </c>
      <c r="E92" s="170">
        <v>0</v>
      </c>
      <c r="F92" s="285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586">
        <f t="shared" si="37"/>
        <v>0</v>
      </c>
      <c r="S92" s="335">
        <f t="shared" si="27"/>
        <v>0</v>
      </c>
      <c r="T92" s="335">
        <v>13.5</v>
      </c>
      <c r="U92" s="335">
        <f t="shared" si="38"/>
        <v>13.5</v>
      </c>
      <c r="V92" s="335"/>
      <c r="W92" s="335"/>
      <c r="X92" s="335"/>
      <c r="Y92" s="335"/>
      <c r="Z92" s="335"/>
      <c r="AA92" s="335"/>
      <c r="AB92" s="335"/>
      <c r="AC92" s="335"/>
      <c r="AD92" s="335"/>
      <c r="AE92" s="335"/>
      <c r="AF92" s="335"/>
      <c r="AG92" s="335"/>
      <c r="AH92" s="335"/>
      <c r="AI92" s="335"/>
      <c r="AJ92" s="96"/>
      <c r="AK92" s="566"/>
      <c r="AL92" s="566"/>
      <c r="AM92" s="566"/>
      <c r="AN92" s="566"/>
      <c r="AO92" s="566"/>
      <c r="AP92" s="566"/>
      <c r="AQ92" s="566"/>
      <c r="AR92" s="566"/>
      <c r="AS92" s="566"/>
      <c r="AT92" s="566"/>
      <c r="AU92" s="566"/>
      <c r="AV92" s="602">
        <f t="shared" si="28"/>
        <v>0</v>
      </c>
      <c r="AW92" s="337"/>
      <c r="AX92" s="337"/>
      <c r="AY92" s="337"/>
      <c r="AZ92" s="170"/>
      <c r="BA92" s="102"/>
      <c r="BB92" s="186"/>
      <c r="BC92" s="186"/>
      <c r="BD92" s="186"/>
      <c r="BE92" s="186"/>
    </row>
    <row r="93" spans="1:57" s="631" customFormat="1" ht="73.5" customHeight="1" outlineLevel="7" x14ac:dyDescent="0.25">
      <c r="A93" s="8" t="s">
        <v>54</v>
      </c>
      <c r="B93" s="9" t="s">
        <v>372</v>
      </c>
      <c r="C93" s="10" t="s">
        <v>227</v>
      </c>
      <c r="D93" s="337">
        <v>680</v>
      </c>
      <c r="E93" s="170">
        <v>326.2</v>
      </c>
      <c r="F93" s="176"/>
      <c r="G93" s="176"/>
      <c r="H93" s="176"/>
      <c r="I93" s="176">
        <v>326.2</v>
      </c>
      <c r="J93" s="176"/>
      <c r="K93" s="176"/>
      <c r="L93" s="176"/>
      <c r="M93" s="176"/>
      <c r="N93" s="176"/>
      <c r="O93" s="176"/>
      <c r="P93" s="176"/>
      <c r="Q93" s="176"/>
      <c r="R93" s="586">
        <f t="shared" si="37"/>
        <v>326.2</v>
      </c>
      <c r="S93" s="335">
        <f t="shared" si="27"/>
        <v>0</v>
      </c>
      <c r="T93" s="335"/>
      <c r="U93" s="335">
        <f t="shared" si="38"/>
        <v>0</v>
      </c>
      <c r="V93" s="335"/>
      <c r="W93" s="335"/>
      <c r="X93" s="335"/>
      <c r="Y93" s="335"/>
      <c r="Z93" s="335"/>
      <c r="AA93" s="335"/>
      <c r="AB93" s="335"/>
      <c r="AC93" s="335"/>
      <c r="AD93" s="335"/>
      <c r="AE93" s="335"/>
      <c r="AF93" s="335"/>
      <c r="AG93" s="335"/>
      <c r="AH93" s="335"/>
      <c r="AI93" s="335"/>
      <c r="AJ93" s="96"/>
      <c r="AK93" s="566"/>
      <c r="AL93" s="566"/>
      <c r="AM93" s="566"/>
      <c r="AN93" s="566"/>
      <c r="AO93" s="566"/>
      <c r="AP93" s="566"/>
      <c r="AQ93" s="566"/>
      <c r="AR93" s="566"/>
      <c r="AS93" s="566"/>
      <c r="AT93" s="566"/>
      <c r="AU93" s="566"/>
      <c r="AV93" s="602">
        <f t="shared" si="28"/>
        <v>0</v>
      </c>
      <c r="AW93" s="337"/>
      <c r="AX93" s="337"/>
      <c r="AY93" s="337"/>
      <c r="AZ93" s="170"/>
      <c r="BA93" s="102"/>
      <c r="BB93" s="186"/>
      <c r="BC93" s="186"/>
      <c r="BD93" s="186"/>
      <c r="BE93" s="186"/>
    </row>
    <row r="94" spans="1:57" s="631" customFormat="1" ht="72.75" customHeight="1" outlineLevel="7" x14ac:dyDescent="0.25">
      <c r="A94" s="8"/>
      <c r="B94" s="9" t="s">
        <v>373</v>
      </c>
      <c r="C94" s="10" t="s">
        <v>259</v>
      </c>
      <c r="D94" s="337">
        <v>226.7</v>
      </c>
      <c r="E94" s="170">
        <v>108.7</v>
      </c>
      <c r="F94" s="176"/>
      <c r="G94" s="176"/>
      <c r="H94" s="176"/>
      <c r="I94" s="176">
        <v>108.7</v>
      </c>
      <c r="J94" s="176"/>
      <c r="K94" s="176"/>
      <c r="L94" s="176"/>
      <c r="M94" s="176"/>
      <c r="N94" s="176"/>
      <c r="O94" s="176"/>
      <c r="P94" s="176"/>
      <c r="Q94" s="176"/>
      <c r="R94" s="586">
        <f t="shared" si="37"/>
        <v>108.7</v>
      </c>
      <c r="S94" s="335">
        <f t="shared" si="27"/>
        <v>0</v>
      </c>
      <c r="T94" s="335"/>
      <c r="U94" s="335">
        <f t="shared" si="38"/>
        <v>0</v>
      </c>
      <c r="V94" s="335"/>
      <c r="W94" s="335"/>
      <c r="X94" s="335"/>
      <c r="Y94" s="335"/>
      <c r="Z94" s="335"/>
      <c r="AA94" s="335"/>
      <c r="AB94" s="335"/>
      <c r="AC94" s="335"/>
      <c r="AD94" s="335"/>
      <c r="AE94" s="335"/>
      <c r="AF94" s="335"/>
      <c r="AG94" s="335"/>
      <c r="AH94" s="335"/>
      <c r="AI94" s="335"/>
      <c r="AJ94" s="96"/>
      <c r="AK94" s="566"/>
      <c r="AL94" s="566"/>
      <c r="AM94" s="566"/>
      <c r="AN94" s="566"/>
      <c r="AO94" s="566"/>
      <c r="AP94" s="566"/>
      <c r="AQ94" s="566"/>
      <c r="AR94" s="566"/>
      <c r="AS94" s="566"/>
      <c r="AT94" s="566"/>
      <c r="AU94" s="566"/>
      <c r="AV94" s="602">
        <f t="shared" si="28"/>
        <v>0</v>
      </c>
      <c r="AW94" s="337"/>
      <c r="AX94" s="337"/>
      <c r="AY94" s="337"/>
      <c r="AZ94" s="170"/>
      <c r="BA94" s="102"/>
      <c r="BB94" s="186"/>
      <c r="BC94" s="186"/>
      <c r="BD94" s="186"/>
      <c r="BE94" s="186"/>
    </row>
    <row r="95" spans="1:57" s="631" customFormat="1" ht="59.25" customHeight="1" outlineLevel="7" x14ac:dyDescent="0.25">
      <c r="A95" s="8" t="s">
        <v>54</v>
      </c>
      <c r="B95" s="9" t="s">
        <v>60</v>
      </c>
      <c r="C95" s="10" t="s">
        <v>59</v>
      </c>
      <c r="D95" s="337">
        <v>11728.2</v>
      </c>
      <c r="E95" s="335">
        <v>3369.3</v>
      </c>
      <c r="F95" s="176"/>
      <c r="G95" s="176"/>
      <c r="H95" s="176"/>
      <c r="I95" s="176"/>
      <c r="J95" s="176"/>
      <c r="K95" s="176">
        <v>3369.3</v>
      </c>
      <c r="L95" s="176"/>
      <c r="M95" s="176"/>
      <c r="N95" s="176"/>
      <c r="O95" s="176"/>
      <c r="P95" s="176"/>
      <c r="Q95" s="176"/>
      <c r="R95" s="586">
        <f t="shared" si="37"/>
        <v>3369.3</v>
      </c>
      <c r="S95" s="335">
        <f t="shared" si="27"/>
        <v>0</v>
      </c>
      <c r="T95" s="335"/>
      <c r="U95" s="335">
        <f t="shared" si="38"/>
        <v>0</v>
      </c>
      <c r="V95" s="335"/>
      <c r="W95" s="335"/>
      <c r="X95" s="335"/>
      <c r="Y95" s="335"/>
      <c r="Z95" s="335"/>
      <c r="AA95" s="335"/>
      <c r="AB95" s="335"/>
      <c r="AC95" s="335"/>
      <c r="AD95" s="335"/>
      <c r="AE95" s="335"/>
      <c r="AF95" s="335"/>
      <c r="AG95" s="335"/>
      <c r="AH95" s="335"/>
      <c r="AI95" s="335"/>
      <c r="AJ95" s="96"/>
      <c r="AK95" s="566"/>
      <c r="AL95" s="566"/>
      <c r="AM95" s="566"/>
      <c r="AN95" s="566"/>
      <c r="AO95" s="566"/>
      <c r="AP95" s="566"/>
      <c r="AQ95" s="566"/>
      <c r="AR95" s="566"/>
      <c r="AS95" s="566"/>
      <c r="AT95" s="566"/>
      <c r="AU95" s="566"/>
      <c r="AV95" s="602">
        <f t="shared" si="28"/>
        <v>0</v>
      </c>
      <c r="AW95" s="337"/>
      <c r="AX95" s="337"/>
      <c r="AY95" s="337"/>
      <c r="AZ95" s="170"/>
      <c r="BA95" s="102"/>
      <c r="BB95" s="186"/>
      <c r="BC95" s="186"/>
      <c r="BD95" s="186"/>
      <c r="BE95" s="186"/>
    </row>
    <row r="96" spans="1:57" s="631" customFormat="1" ht="66" customHeight="1" outlineLevel="7" x14ac:dyDescent="0.25">
      <c r="A96" s="8"/>
      <c r="B96" s="177" t="s">
        <v>90</v>
      </c>
      <c r="C96" s="10" t="s">
        <v>89</v>
      </c>
      <c r="D96" s="337">
        <v>3111.1</v>
      </c>
      <c r="E96" s="170">
        <v>3356.4</v>
      </c>
      <c r="F96" s="176"/>
      <c r="G96" s="176"/>
      <c r="H96" s="176"/>
      <c r="I96" s="176"/>
      <c r="J96" s="176"/>
      <c r="K96" s="176"/>
      <c r="L96" s="176"/>
      <c r="M96" s="176">
        <v>3072</v>
      </c>
      <c r="N96" s="176">
        <v>284.39999999999998</v>
      </c>
      <c r="O96" s="176"/>
      <c r="P96" s="176"/>
      <c r="Q96" s="176"/>
      <c r="R96" s="586">
        <f t="shared" si="37"/>
        <v>3356.4</v>
      </c>
      <c r="S96" s="335">
        <f t="shared" si="27"/>
        <v>0</v>
      </c>
      <c r="T96" s="335"/>
      <c r="U96" s="335">
        <f t="shared" si="38"/>
        <v>0</v>
      </c>
      <c r="V96" s="335"/>
      <c r="W96" s="335"/>
      <c r="X96" s="335"/>
      <c r="Y96" s="335"/>
      <c r="Z96" s="335"/>
      <c r="AA96" s="335"/>
      <c r="AB96" s="335"/>
      <c r="AC96" s="335"/>
      <c r="AD96" s="335"/>
      <c r="AE96" s="335"/>
      <c r="AF96" s="335"/>
      <c r="AG96" s="335"/>
      <c r="AH96" s="335"/>
      <c r="AI96" s="335"/>
      <c r="AJ96" s="96"/>
      <c r="AK96" s="566"/>
      <c r="AL96" s="566"/>
      <c r="AM96" s="566"/>
      <c r="AN96" s="566"/>
      <c r="AO96" s="566"/>
      <c r="AP96" s="566"/>
      <c r="AQ96" s="566"/>
      <c r="AR96" s="566"/>
      <c r="AS96" s="566"/>
      <c r="AT96" s="566"/>
      <c r="AU96" s="566"/>
      <c r="AV96" s="602">
        <f t="shared" si="28"/>
        <v>0</v>
      </c>
      <c r="AW96" s="337"/>
      <c r="AX96" s="337"/>
      <c r="AY96" s="337"/>
      <c r="AZ96" s="170"/>
      <c r="BA96" s="102"/>
      <c r="BB96" s="186"/>
      <c r="BC96" s="186"/>
      <c r="BD96" s="186"/>
      <c r="BE96" s="186"/>
    </row>
    <row r="97" spans="1:59" s="631" customFormat="1" ht="60" outlineLevel="7" x14ac:dyDescent="0.25">
      <c r="A97" s="8" t="s">
        <v>88</v>
      </c>
      <c r="B97" s="9" t="s">
        <v>94</v>
      </c>
      <c r="C97" s="10" t="s">
        <v>456</v>
      </c>
      <c r="D97" s="337">
        <v>3459.7</v>
      </c>
      <c r="E97" s="170">
        <v>3880.7</v>
      </c>
      <c r="F97" s="176"/>
      <c r="G97" s="176"/>
      <c r="H97" s="176"/>
      <c r="I97" s="176">
        <v>3323.7</v>
      </c>
      <c r="J97" s="176">
        <v>557</v>
      </c>
      <c r="K97" s="176"/>
      <c r="L97" s="176"/>
      <c r="M97" s="176"/>
      <c r="N97" s="176"/>
      <c r="O97" s="176"/>
      <c r="P97" s="176"/>
      <c r="Q97" s="176"/>
      <c r="R97" s="586">
        <f t="shared" si="37"/>
        <v>3880.7</v>
      </c>
      <c r="S97" s="335">
        <f t="shared" si="27"/>
        <v>0</v>
      </c>
      <c r="T97" s="335"/>
      <c r="U97" s="335">
        <f t="shared" si="38"/>
        <v>0</v>
      </c>
      <c r="V97" s="335"/>
      <c r="W97" s="335"/>
      <c r="X97" s="335"/>
      <c r="Y97" s="335"/>
      <c r="Z97" s="335"/>
      <c r="AA97" s="335"/>
      <c r="AB97" s="335"/>
      <c r="AC97" s="335"/>
      <c r="AD97" s="335"/>
      <c r="AE97" s="335"/>
      <c r="AF97" s="335"/>
      <c r="AG97" s="335"/>
      <c r="AH97" s="335"/>
      <c r="AI97" s="335"/>
      <c r="AJ97" s="96"/>
      <c r="AK97" s="566"/>
      <c r="AL97" s="566"/>
      <c r="AM97" s="566"/>
      <c r="AN97" s="566"/>
      <c r="AO97" s="566"/>
      <c r="AP97" s="566"/>
      <c r="AQ97" s="566"/>
      <c r="AR97" s="566"/>
      <c r="AS97" s="566"/>
      <c r="AT97" s="566"/>
      <c r="AU97" s="566"/>
      <c r="AV97" s="602">
        <f t="shared" si="28"/>
        <v>0</v>
      </c>
      <c r="AW97" s="337"/>
      <c r="AX97" s="337"/>
      <c r="AY97" s="337"/>
      <c r="AZ97" s="170"/>
      <c r="BA97" s="102"/>
      <c r="BB97" s="186"/>
      <c r="BC97" s="186"/>
      <c r="BD97" s="186"/>
      <c r="BE97" s="186"/>
    </row>
    <row r="98" spans="1:59" s="631" customFormat="1" ht="68.25" customHeight="1" outlineLevel="7" x14ac:dyDescent="0.25">
      <c r="A98" s="8" t="s">
        <v>95</v>
      </c>
      <c r="B98" s="9" t="s">
        <v>65</v>
      </c>
      <c r="C98" s="10" t="s">
        <v>64</v>
      </c>
      <c r="D98" s="337">
        <v>3302.3</v>
      </c>
      <c r="E98" s="170">
        <f>2397+1118.8</f>
        <v>3515.8</v>
      </c>
      <c r="F98" s="176"/>
      <c r="G98" s="176"/>
      <c r="H98" s="176"/>
      <c r="I98" s="176"/>
      <c r="J98" s="176"/>
      <c r="K98" s="176"/>
      <c r="L98" s="176">
        <v>2397</v>
      </c>
      <c r="M98" s="176">
        <v>1024</v>
      </c>
      <c r="N98" s="176">
        <v>94.8</v>
      </c>
      <c r="O98" s="176"/>
      <c r="P98" s="176"/>
      <c r="Q98" s="176"/>
      <c r="R98" s="586">
        <f t="shared" si="37"/>
        <v>3515.8</v>
      </c>
      <c r="S98" s="335">
        <f t="shared" si="27"/>
        <v>0</v>
      </c>
      <c r="T98" s="335"/>
      <c r="U98" s="335">
        <f t="shared" si="38"/>
        <v>0</v>
      </c>
      <c r="V98" s="335"/>
      <c r="W98" s="335"/>
      <c r="X98" s="335"/>
      <c r="Y98" s="335"/>
      <c r="Z98" s="335"/>
      <c r="AA98" s="335"/>
      <c r="AB98" s="335"/>
      <c r="AC98" s="335"/>
      <c r="AD98" s="335"/>
      <c r="AE98" s="335"/>
      <c r="AF98" s="335"/>
      <c r="AG98" s="335"/>
      <c r="AH98" s="335"/>
      <c r="AI98" s="335"/>
      <c r="AJ98" s="96"/>
      <c r="AK98" s="566"/>
      <c r="AL98" s="566"/>
      <c r="AM98" s="566"/>
      <c r="AN98" s="566"/>
      <c r="AO98" s="566"/>
      <c r="AP98" s="566"/>
      <c r="AQ98" s="566"/>
      <c r="AR98" s="566"/>
      <c r="AS98" s="566"/>
      <c r="AT98" s="566"/>
      <c r="AU98" s="566"/>
      <c r="AV98" s="602">
        <f t="shared" si="28"/>
        <v>0</v>
      </c>
      <c r="AW98" s="337"/>
      <c r="AX98" s="337"/>
      <c r="AY98" s="337"/>
      <c r="AZ98" s="170"/>
      <c r="BA98" s="102"/>
      <c r="BB98" s="186"/>
      <c r="BC98" s="186"/>
      <c r="BD98" s="186"/>
      <c r="BE98" s="186"/>
    </row>
    <row r="99" spans="1:59" s="631" customFormat="1" ht="56.25" customHeight="1" outlineLevel="7" x14ac:dyDescent="0.25">
      <c r="A99" s="8" t="s">
        <v>95</v>
      </c>
      <c r="B99" s="9" t="s">
        <v>67</v>
      </c>
      <c r="C99" s="10" t="s">
        <v>66</v>
      </c>
      <c r="D99" s="337">
        <v>3010.2</v>
      </c>
      <c r="E99" s="170">
        <v>2978.3</v>
      </c>
      <c r="F99" s="176"/>
      <c r="G99" s="176"/>
      <c r="H99" s="176"/>
      <c r="I99" s="176"/>
      <c r="J99" s="176"/>
      <c r="K99" s="176"/>
      <c r="L99" s="176"/>
      <c r="M99" s="176">
        <v>2953.6</v>
      </c>
      <c r="N99" s="176"/>
      <c r="O99" s="176">
        <v>24.7</v>
      </c>
      <c r="P99" s="176"/>
      <c r="Q99" s="176"/>
      <c r="R99" s="586">
        <f t="shared" si="37"/>
        <v>2978.2999999999997</v>
      </c>
      <c r="S99" s="335">
        <f t="shared" si="27"/>
        <v>0</v>
      </c>
      <c r="T99" s="335"/>
      <c r="U99" s="335">
        <f t="shared" si="38"/>
        <v>0</v>
      </c>
      <c r="V99" s="335"/>
      <c r="W99" s="335"/>
      <c r="X99" s="335"/>
      <c r="Y99" s="335"/>
      <c r="Z99" s="335"/>
      <c r="AA99" s="335"/>
      <c r="AB99" s="335"/>
      <c r="AC99" s="335"/>
      <c r="AD99" s="335"/>
      <c r="AE99" s="335"/>
      <c r="AF99" s="335"/>
      <c r="AG99" s="335"/>
      <c r="AH99" s="335"/>
      <c r="AI99" s="335"/>
      <c r="AJ99" s="96"/>
      <c r="AK99" s="566"/>
      <c r="AL99" s="566"/>
      <c r="AM99" s="566"/>
      <c r="AN99" s="566"/>
      <c r="AO99" s="566"/>
      <c r="AP99" s="566"/>
      <c r="AQ99" s="566"/>
      <c r="AR99" s="566"/>
      <c r="AS99" s="566"/>
      <c r="AT99" s="566"/>
      <c r="AU99" s="566"/>
      <c r="AV99" s="602">
        <f t="shared" si="28"/>
        <v>0</v>
      </c>
      <c r="AW99" s="337"/>
      <c r="AX99" s="337"/>
      <c r="AY99" s="337"/>
      <c r="AZ99" s="170"/>
      <c r="BA99" s="102"/>
      <c r="BB99" s="186"/>
      <c r="BC99" s="186"/>
      <c r="BD99" s="186"/>
      <c r="BE99" s="186"/>
    </row>
    <row r="100" spans="1:59" s="631" customFormat="1" ht="46.5" customHeight="1" outlineLevel="7" x14ac:dyDescent="0.25">
      <c r="A100" s="8"/>
      <c r="B100" s="180" t="s">
        <v>472</v>
      </c>
      <c r="C100" s="10" t="s">
        <v>480</v>
      </c>
      <c r="D100" s="337">
        <v>802.5</v>
      </c>
      <c r="E100" s="170">
        <v>171.9</v>
      </c>
      <c r="F100" s="176"/>
      <c r="G100" s="176"/>
      <c r="H100" s="176"/>
      <c r="I100" s="176"/>
      <c r="J100" s="176"/>
      <c r="K100" s="176"/>
      <c r="L100" s="176"/>
      <c r="M100" s="176">
        <v>171.9</v>
      </c>
      <c r="N100" s="176"/>
      <c r="O100" s="176"/>
      <c r="P100" s="176"/>
      <c r="Q100" s="176"/>
      <c r="R100" s="586">
        <f t="shared" si="37"/>
        <v>171.9</v>
      </c>
      <c r="S100" s="335">
        <f t="shared" si="27"/>
        <v>0</v>
      </c>
      <c r="T100" s="335"/>
      <c r="U100" s="335">
        <f t="shared" si="38"/>
        <v>0</v>
      </c>
      <c r="V100" s="335"/>
      <c r="W100" s="335"/>
      <c r="X100" s="335"/>
      <c r="Y100" s="335"/>
      <c r="Z100" s="335"/>
      <c r="AA100" s="335"/>
      <c r="AB100" s="335"/>
      <c r="AC100" s="335"/>
      <c r="AD100" s="335"/>
      <c r="AE100" s="335"/>
      <c r="AF100" s="335"/>
      <c r="AG100" s="335"/>
      <c r="AH100" s="335"/>
      <c r="AI100" s="335"/>
      <c r="AJ100" s="96"/>
      <c r="AK100" s="566"/>
      <c r="AL100" s="566"/>
      <c r="AM100" s="566"/>
      <c r="AN100" s="566"/>
      <c r="AO100" s="566"/>
      <c r="AP100" s="566"/>
      <c r="AQ100" s="566"/>
      <c r="AR100" s="566"/>
      <c r="AS100" s="566"/>
      <c r="AT100" s="566"/>
      <c r="AU100" s="566"/>
      <c r="AV100" s="602">
        <f t="shared" si="28"/>
        <v>0</v>
      </c>
      <c r="AW100" s="337"/>
      <c r="AX100" s="337"/>
      <c r="AY100" s="337"/>
      <c r="AZ100" s="170"/>
      <c r="BA100" s="102"/>
      <c r="BB100" s="186"/>
      <c r="BC100" s="186"/>
      <c r="BD100" s="186"/>
      <c r="BE100" s="186"/>
    </row>
    <row r="101" spans="1:59" s="631" customFormat="1" ht="60" outlineLevel="7" x14ac:dyDescent="0.25">
      <c r="A101" s="8" t="s">
        <v>95</v>
      </c>
      <c r="B101" s="180" t="s">
        <v>135</v>
      </c>
      <c r="C101" s="10" t="s">
        <v>457</v>
      </c>
      <c r="D101" s="337">
        <v>4520.1000000000004</v>
      </c>
      <c r="E101" s="170">
        <v>3462.9</v>
      </c>
      <c r="F101" s="176"/>
      <c r="G101" s="176"/>
      <c r="H101" s="176"/>
      <c r="I101" s="176">
        <v>3277.3</v>
      </c>
      <c r="J101" s="176">
        <v>185.7</v>
      </c>
      <c r="K101" s="176"/>
      <c r="L101" s="176"/>
      <c r="M101" s="176"/>
      <c r="N101" s="176"/>
      <c r="O101" s="176"/>
      <c r="P101" s="176"/>
      <c r="Q101" s="176"/>
      <c r="R101" s="586">
        <v>3462.9</v>
      </c>
      <c r="S101" s="335">
        <f t="shared" si="27"/>
        <v>0</v>
      </c>
      <c r="T101" s="335"/>
      <c r="U101" s="335">
        <f t="shared" si="38"/>
        <v>0</v>
      </c>
      <c r="V101" s="335"/>
      <c r="W101" s="335"/>
      <c r="X101" s="335"/>
      <c r="Y101" s="335"/>
      <c r="Z101" s="335"/>
      <c r="AA101" s="335"/>
      <c r="AB101" s="335"/>
      <c r="AC101" s="335"/>
      <c r="AD101" s="335"/>
      <c r="AE101" s="335"/>
      <c r="AF101" s="335"/>
      <c r="AG101" s="335"/>
      <c r="AH101" s="335"/>
      <c r="AI101" s="335"/>
      <c r="AJ101" s="96"/>
      <c r="AK101" s="566"/>
      <c r="AL101" s="566"/>
      <c r="AM101" s="566"/>
      <c r="AN101" s="566"/>
      <c r="AO101" s="566"/>
      <c r="AP101" s="566"/>
      <c r="AQ101" s="566"/>
      <c r="AR101" s="566"/>
      <c r="AS101" s="566"/>
      <c r="AT101" s="566"/>
      <c r="AU101" s="566"/>
      <c r="AV101" s="602">
        <f t="shared" si="28"/>
        <v>0</v>
      </c>
      <c r="AW101" s="337"/>
      <c r="AX101" s="337"/>
      <c r="AY101" s="337"/>
      <c r="AZ101" s="170"/>
      <c r="BA101" s="102"/>
      <c r="BB101" s="186"/>
      <c r="BC101" s="186"/>
      <c r="BD101" s="186"/>
      <c r="BE101" s="186"/>
    </row>
    <row r="102" spans="1:59" s="631" customFormat="1" ht="86.25" customHeight="1" outlineLevel="7" x14ac:dyDescent="0.25">
      <c r="A102" s="8"/>
      <c r="B102" s="2" t="s">
        <v>458</v>
      </c>
      <c r="C102" s="10" t="s">
        <v>87</v>
      </c>
      <c r="D102" s="337">
        <v>9080.7999999999993</v>
      </c>
      <c r="E102" s="170">
        <v>2088.9</v>
      </c>
      <c r="F102" s="176"/>
      <c r="G102" s="176"/>
      <c r="H102" s="176"/>
      <c r="I102" s="176"/>
      <c r="J102" s="176">
        <v>2088.9</v>
      </c>
      <c r="K102" s="176"/>
      <c r="L102" s="176"/>
      <c r="M102" s="176"/>
      <c r="N102" s="176"/>
      <c r="O102" s="176"/>
      <c r="P102" s="176"/>
      <c r="Q102" s="176"/>
      <c r="R102" s="586">
        <f>SUM(F102:Q102)</f>
        <v>2088.9</v>
      </c>
      <c r="S102" s="335">
        <f t="shared" si="27"/>
        <v>0</v>
      </c>
      <c r="T102" s="335"/>
      <c r="U102" s="335">
        <f t="shared" si="38"/>
        <v>0</v>
      </c>
      <c r="V102" s="335"/>
      <c r="W102" s="335"/>
      <c r="X102" s="335"/>
      <c r="Y102" s="335"/>
      <c r="Z102" s="335"/>
      <c r="AA102" s="335"/>
      <c r="AB102" s="335"/>
      <c r="AC102" s="335"/>
      <c r="AD102" s="335"/>
      <c r="AE102" s="335"/>
      <c r="AF102" s="335"/>
      <c r="AG102" s="335"/>
      <c r="AH102" s="335"/>
      <c r="AI102" s="335"/>
      <c r="AJ102" s="96"/>
      <c r="AK102" s="566"/>
      <c r="AL102" s="566"/>
      <c r="AM102" s="566"/>
      <c r="AN102" s="566"/>
      <c r="AO102" s="566"/>
      <c r="AP102" s="566"/>
      <c r="AQ102" s="566"/>
      <c r="AR102" s="566"/>
      <c r="AS102" s="566"/>
      <c r="AT102" s="566"/>
      <c r="AU102" s="566"/>
      <c r="AV102" s="602">
        <f t="shared" si="28"/>
        <v>0</v>
      </c>
      <c r="AW102" s="337"/>
      <c r="AX102" s="337"/>
      <c r="AY102" s="337"/>
      <c r="AZ102" s="170"/>
      <c r="BA102" s="102"/>
      <c r="BB102" s="186"/>
      <c r="BC102" s="186"/>
      <c r="BD102" s="186"/>
      <c r="BE102" s="186"/>
    </row>
    <row r="103" spans="1:59" s="631" customFormat="1" ht="70.5" customHeight="1" outlineLevel="7" x14ac:dyDescent="0.25">
      <c r="A103" s="8"/>
      <c r="B103" s="292" t="s">
        <v>355</v>
      </c>
      <c r="C103" s="247" t="s">
        <v>282</v>
      </c>
      <c r="D103" s="337">
        <v>1244.9000000000001</v>
      </c>
      <c r="E103" s="170">
        <f>2314.9-20.2</f>
        <v>2294.7000000000003</v>
      </c>
      <c r="F103" s="253"/>
      <c r="G103" s="253"/>
      <c r="H103" s="253">
        <v>965.1</v>
      </c>
      <c r="I103" s="253"/>
      <c r="J103" s="253"/>
      <c r="K103" s="253">
        <v>722.5</v>
      </c>
      <c r="L103" s="253"/>
      <c r="M103" s="253"/>
      <c r="N103" s="253"/>
      <c r="O103" s="253">
        <v>11.6</v>
      </c>
      <c r="P103" s="253"/>
      <c r="Q103" s="253">
        <v>595.5</v>
      </c>
      <c r="R103" s="586">
        <f t="shared" si="36"/>
        <v>2294.6999999999998</v>
      </c>
      <c r="S103" s="335">
        <f t="shared" si="27"/>
        <v>965.1</v>
      </c>
      <c r="T103" s="335"/>
      <c r="U103" s="335"/>
      <c r="V103" s="335"/>
      <c r="W103" s="335"/>
      <c r="X103" s="335"/>
      <c r="Y103" s="335"/>
      <c r="Z103" s="335"/>
      <c r="AA103" s="335"/>
      <c r="AB103" s="335"/>
      <c r="AC103" s="335"/>
      <c r="AD103" s="335"/>
      <c r="AE103" s="335"/>
      <c r="AF103" s="335"/>
      <c r="AG103" s="335"/>
      <c r="AH103" s="335"/>
      <c r="AI103" s="335"/>
      <c r="AJ103" s="96"/>
      <c r="AK103" s="566"/>
      <c r="AL103" s="566"/>
      <c r="AM103" s="566"/>
      <c r="AN103" s="566"/>
      <c r="AO103" s="566"/>
      <c r="AP103" s="566"/>
      <c r="AQ103" s="566"/>
      <c r="AR103" s="566"/>
      <c r="AS103" s="566"/>
      <c r="AT103" s="566"/>
      <c r="AU103" s="566"/>
      <c r="AV103" s="602">
        <f t="shared" si="28"/>
        <v>0</v>
      </c>
      <c r="AW103" s="337"/>
      <c r="AX103" s="337"/>
      <c r="AY103" s="337"/>
      <c r="AZ103" s="170"/>
      <c r="BA103" s="102"/>
      <c r="BB103" s="186"/>
      <c r="BC103" s="186"/>
      <c r="BD103" s="186"/>
      <c r="BE103" s="186"/>
    </row>
    <row r="104" spans="1:59" s="631" customFormat="1" ht="66.75" customHeight="1" outlineLevel="7" x14ac:dyDescent="0.25">
      <c r="A104" s="8"/>
      <c r="B104" s="21" t="s">
        <v>354</v>
      </c>
      <c r="C104" s="291" t="s">
        <v>336</v>
      </c>
      <c r="D104" s="337">
        <v>3734.5</v>
      </c>
      <c r="E104" s="170">
        <f>6944.8-60.7</f>
        <v>6884.1</v>
      </c>
      <c r="F104" s="176"/>
      <c r="G104" s="176"/>
      <c r="H104" s="176">
        <v>2895.3</v>
      </c>
      <c r="I104" s="176"/>
      <c r="J104" s="176"/>
      <c r="K104" s="176">
        <v>2167.4</v>
      </c>
      <c r="L104" s="176"/>
      <c r="M104" s="176"/>
      <c r="N104" s="176"/>
      <c r="O104" s="176">
        <v>35</v>
      </c>
      <c r="P104" s="176"/>
      <c r="Q104" s="176">
        <v>1786.4</v>
      </c>
      <c r="R104" s="586">
        <f t="shared" si="36"/>
        <v>6884.1</v>
      </c>
      <c r="S104" s="335">
        <f t="shared" si="27"/>
        <v>2895.3</v>
      </c>
      <c r="T104" s="335"/>
      <c r="U104" s="335">
        <f t="shared" si="29"/>
        <v>0</v>
      </c>
      <c r="V104" s="335"/>
      <c r="W104" s="335"/>
      <c r="X104" s="335"/>
      <c r="Y104" s="335"/>
      <c r="Z104" s="335"/>
      <c r="AA104" s="335"/>
      <c r="AB104" s="335"/>
      <c r="AC104" s="335"/>
      <c r="AD104" s="335"/>
      <c r="AE104" s="335"/>
      <c r="AF104" s="335"/>
      <c r="AG104" s="335"/>
      <c r="AH104" s="335"/>
      <c r="AI104" s="335"/>
      <c r="AJ104" s="96"/>
      <c r="AK104" s="566"/>
      <c r="AL104" s="566"/>
      <c r="AM104" s="566"/>
      <c r="AN104" s="566"/>
      <c r="AO104" s="566"/>
      <c r="AP104" s="566"/>
      <c r="AQ104" s="566"/>
      <c r="AR104" s="566"/>
      <c r="AS104" s="566"/>
      <c r="AT104" s="566"/>
      <c r="AU104" s="566"/>
      <c r="AV104" s="602">
        <f t="shared" si="28"/>
        <v>0</v>
      </c>
      <c r="AW104" s="337"/>
      <c r="AX104" s="337"/>
      <c r="AY104" s="337"/>
      <c r="AZ104" s="170"/>
      <c r="BA104" s="102"/>
      <c r="BB104" s="186"/>
      <c r="BC104" s="186"/>
      <c r="BD104" s="186"/>
      <c r="BE104" s="186"/>
    </row>
    <row r="105" spans="1:59" s="631" customFormat="1" ht="71.25" customHeight="1" outlineLevel="7" x14ac:dyDescent="0.25">
      <c r="A105" s="8"/>
      <c r="B105" s="2" t="s">
        <v>681</v>
      </c>
      <c r="C105" s="10" t="s">
        <v>591</v>
      </c>
      <c r="D105" s="337"/>
      <c r="E105" s="170">
        <v>4629.3999999999996</v>
      </c>
      <c r="F105" s="176"/>
      <c r="G105" s="176"/>
      <c r="H105" s="176"/>
      <c r="I105" s="176"/>
      <c r="J105" s="176"/>
      <c r="K105" s="176"/>
      <c r="L105" s="176"/>
      <c r="M105" s="176">
        <v>4629.3</v>
      </c>
      <c r="N105" s="176"/>
      <c r="O105" s="176"/>
      <c r="P105" s="176"/>
      <c r="Q105" s="176">
        <v>0.1</v>
      </c>
      <c r="R105" s="586">
        <f t="shared" si="36"/>
        <v>4629.4000000000005</v>
      </c>
      <c r="S105" s="335">
        <f t="shared" si="27"/>
        <v>0</v>
      </c>
      <c r="T105" s="335"/>
      <c r="U105" s="335">
        <f t="shared" si="29"/>
        <v>0</v>
      </c>
      <c r="V105" s="335"/>
      <c r="W105" s="335"/>
      <c r="X105" s="335"/>
      <c r="Y105" s="335"/>
      <c r="Z105" s="335"/>
      <c r="AA105" s="335"/>
      <c r="AB105" s="335"/>
      <c r="AC105" s="335"/>
      <c r="AD105" s="335"/>
      <c r="AE105" s="335"/>
      <c r="AF105" s="335"/>
      <c r="AG105" s="335"/>
      <c r="AH105" s="335"/>
      <c r="AI105" s="335"/>
      <c r="AJ105" s="96"/>
      <c r="AK105" s="566"/>
      <c r="AL105" s="566"/>
      <c r="AM105" s="566"/>
      <c r="AN105" s="566"/>
      <c r="AO105" s="566"/>
      <c r="AP105" s="566"/>
      <c r="AQ105" s="566"/>
      <c r="AR105" s="566"/>
      <c r="AS105" s="566"/>
      <c r="AT105" s="566"/>
      <c r="AU105" s="566"/>
      <c r="AV105" s="602">
        <f t="shared" si="28"/>
        <v>0</v>
      </c>
      <c r="AW105" s="337"/>
      <c r="AX105" s="337"/>
      <c r="AY105" s="337"/>
      <c r="AZ105" s="170"/>
      <c r="BA105" s="102"/>
      <c r="BB105" s="186"/>
      <c r="BC105" s="186"/>
      <c r="BD105" s="186"/>
      <c r="BE105" s="186"/>
    </row>
    <row r="106" spans="1:59" s="631" customFormat="1" ht="21.75" customHeight="1" outlineLevel="7" x14ac:dyDescent="0.25">
      <c r="A106" s="8"/>
      <c r="B106" s="593" t="s">
        <v>143</v>
      </c>
      <c r="C106" s="594"/>
      <c r="D106" s="595" t="e">
        <f>D107+D112+D108+D109+D114+#REF!+D115+D110+D111+#REF!</f>
        <v>#REF!</v>
      </c>
      <c r="E106" s="595" t="e">
        <f>E107+E112+E108+E109+E114+#REF!+E115+E110+E111+#REF!+E113</f>
        <v>#REF!</v>
      </c>
      <c r="F106" s="595" t="e">
        <f>F107+F112+F108+F109+F114+#REF!+F115+F110+F111+#REF!+F113</f>
        <v>#REF!</v>
      </c>
      <c r="G106" s="595" t="e">
        <f>G107+G112+G108+G109+G114+#REF!+G115+G110+G111+#REF!+G113</f>
        <v>#REF!</v>
      </c>
      <c r="H106" s="595" t="e">
        <f>H107+H112+H108+H109+H114+#REF!+H115+H110+H111+#REF!+H113</f>
        <v>#REF!</v>
      </c>
      <c r="I106" s="595" t="e">
        <f>I107+I112+I108+I109+I114+#REF!+I115+I110+I111+#REF!+I113</f>
        <v>#REF!</v>
      </c>
      <c r="J106" s="595" t="e">
        <f>J107+J112+J108+J109+J114+#REF!+J115+J110+J111+#REF!+J113</f>
        <v>#REF!</v>
      </c>
      <c r="K106" s="595" t="e">
        <f>K107+K112+K108+K109+K114+#REF!+K115+K110+K111+#REF!+K113</f>
        <v>#REF!</v>
      </c>
      <c r="L106" s="595" t="e">
        <f>L107+L112+L108+L109+L114+#REF!+L115+L110+L111+#REF!+L113</f>
        <v>#REF!</v>
      </c>
      <c r="M106" s="595" t="e">
        <f>M107+M112+M108+M109+M114+#REF!+M115+M110+M111+#REF!+M113</f>
        <v>#REF!</v>
      </c>
      <c r="N106" s="595" t="e">
        <f>N107+N112+N108+N109+N114+#REF!+N115+N110+N111+#REF!+N113</f>
        <v>#REF!</v>
      </c>
      <c r="O106" s="595" t="e">
        <f>O107+O112+O108+O109+O114+#REF!+O115+O110+O111+#REF!+O113</f>
        <v>#REF!</v>
      </c>
      <c r="P106" s="595" t="e">
        <f>P107+P112+P108+P109+P114+#REF!+P115+P110+P111+#REF!+P113</f>
        <v>#REF!</v>
      </c>
      <c r="Q106" s="595" t="e">
        <f>Q107+Q112+Q108+Q109+Q114+#REF!+Q115+Q110+Q111+#REF!+Q113</f>
        <v>#REF!</v>
      </c>
      <c r="R106" s="595">
        <f>R107+R112+R108+R109+R114+R115+R110+R111+R113</f>
        <v>45082.5</v>
      </c>
      <c r="S106" s="595">
        <f t="shared" ref="S106:AY106" si="39">S107+S112+S108+S109+S114+S115+S110+S111+S113</f>
        <v>11156</v>
      </c>
      <c r="T106" s="595">
        <f t="shared" si="39"/>
        <v>1547.8000000000002</v>
      </c>
      <c r="U106" s="595">
        <f t="shared" si="39"/>
        <v>1600.8</v>
      </c>
      <c r="V106" s="595">
        <f t="shared" si="39"/>
        <v>0</v>
      </c>
      <c r="W106" s="595">
        <f t="shared" si="39"/>
        <v>293.40000000000003</v>
      </c>
      <c r="X106" s="595">
        <f t="shared" si="39"/>
        <v>0</v>
      </c>
      <c r="Y106" s="595">
        <f t="shared" si="39"/>
        <v>293.40000000000003</v>
      </c>
      <c r="Z106" s="595">
        <f t="shared" si="39"/>
        <v>0</v>
      </c>
      <c r="AA106" s="595">
        <f t="shared" si="39"/>
        <v>0</v>
      </c>
      <c r="AB106" s="595">
        <f t="shared" si="39"/>
        <v>0</v>
      </c>
      <c r="AC106" s="595">
        <f t="shared" si="39"/>
        <v>0</v>
      </c>
      <c r="AD106" s="595">
        <f t="shared" si="39"/>
        <v>0</v>
      </c>
      <c r="AE106" s="595">
        <f t="shared" si="39"/>
        <v>0</v>
      </c>
      <c r="AF106" s="595">
        <f t="shared" si="39"/>
        <v>0</v>
      </c>
      <c r="AG106" s="595">
        <f t="shared" si="39"/>
        <v>0</v>
      </c>
      <c r="AH106" s="595">
        <f t="shared" si="39"/>
        <v>0</v>
      </c>
      <c r="AI106" s="595">
        <f t="shared" si="39"/>
        <v>0</v>
      </c>
      <c r="AJ106" s="595">
        <f t="shared" si="39"/>
        <v>0</v>
      </c>
      <c r="AK106" s="595">
        <f t="shared" si="39"/>
        <v>293.40000000000003</v>
      </c>
      <c r="AL106" s="595">
        <f t="shared" si="39"/>
        <v>0</v>
      </c>
      <c r="AM106" s="595">
        <f t="shared" si="39"/>
        <v>0</v>
      </c>
      <c r="AN106" s="595">
        <f t="shared" si="39"/>
        <v>0</v>
      </c>
      <c r="AO106" s="595">
        <f t="shared" si="39"/>
        <v>0</v>
      </c>
      <c r="AP106" s="595">
        <f t="shared" si="39"/>
        <v>0</v>
      </c>
      <c r="AQ106" s="595">
        <f t="shared" si="39"/>
        <v>0</v>
      </c>
      <c r="AR106" s="595">
        <f t="shared" si="39"/>
        <v>0</v>
      </c>
      <c r="AS106" s="595">
        <f t="shared" si="39"/>
        <v>0</v>
      </c>
      <c r="AT106" s="595">
        <f t="shared" si="39"/>
        <v>0</v>
      </c>
      <c r="AU106" s="595">
        <f t="shared" si="39"/>
        <v>0</v>
      </c>
      <c r="AV106" s="595">
        <f t="shared" si="39"/>
        <v>293.40000000000003</v>
      </c>
      <c r="AW106" s="595">
        <f t="shared" si="39"/>
        <v>0</v>
      </c>
      <c r="AX106" s="595">
        <f t="shared" si="39"/>
        <v>0</v>
      </c>
      <c r="AY106" s="595">
        <f t="shared" si="39"/>
        <v>0</v>
      </c>
      <c r="AZ106" s="169"/>
      <c r="BA106" s="338"/>
      <c r="BB106" s="187"/>
      <c r="BC106" s="338"/>
      <c r="BD106" s="187"/>
      <c r="BE106" s="187"/>
      <c r="BG106" s="72"/>
    </row>
    <row r="107" spans="1:59" s="19" customFormat="1" ht="63" customHeight="1" outlineLevel="7" x14ac:dyDescent="0.25">
      <c r="A107" s="18"/>
      <c r="B107" s="9" t="s">
        <v>332</v>
      </c>
      <c r="C107" s="20" t="s">
        <v>275</v>
      </c>
      <c r="D107" s="337"/>
      <c r="E107" s="170">
        <v>1556</v>
      </c>
      <c r="F107" s="176"/>
      <c r="G107" s="176"/>
      <c r="H107" s="176"/>
      <c r="I107" s="176"/>
      <c r="J107" s="176"/>
      <c r="K107" s="176">
        <v>980.6</v>
      </c>
      <c r="L107" s="176"/>
      <c r="M107" s="176">
        <v>93</v>
      </c>
      <c r="N107" s="176">
        <v>135</v>
      </c>
      <c r="O107" s="176">
        <v>135</v>
      </c>
      <c r="P107" s="176">
        <v>135</v>
      </c>
      <c r="Q107" s="176">
        <v>77.400000000000006</v>
      </c>
      <c r="R107" s="586">
        <f t="shared" ref="R107:R116" si="40">SUM(F107:Q107)</f>
        <v>1556</v>
      </c>
      <c r="S107" s="335">
        <f t="shared" si="27"/>
        <v>0</v>
      </c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566"/>
      <c r="AK107" s="566"/>
      <c r="AL107" s="566"/>
      <c r="AM107" s="566"/>
      <c r="AN107" s="566"/>
      <c r="AO107" s="566"/>
      <c r="AP107" s="566"/>
      <c r="AQ107" s="566"/>
      <c r="AR107" s="566"/>
      <c r="AS107" s="566"/>
      <c r="AT107" s="566"/>
      <c r="AU107" s="566"/>
      <c r="AV107" s="602">
        <f t="shared" si="28"/>
        <v>0</v>
      </c>
      <c r="AW107" s="337"/>
      <c r="AX107" s="337"/>
      <c r="AY107" s="337"/>
      <c r="AZ107" s="170"/>
      <c r="BA107" s="102"/>
      <c r="BB107" s="186"/>
      <c r="BC107" s="186"/>
      <c r="BD107" s="186"/>
      <c r="BE107" s="186"/>
      <c r="BG107" s="204"/>
    </row>
    <row r="108" spans="1:59" s="19" customFormat="1" ht="79.5" customHeight="1" outlineLevel="7" x14ac:dyDescent="0.25">
      <c r="A108" s="18"/>
      <c r="B108" s="228" t="s">
        <v>376</v>
      </c>
      <c r="C108" s="20" t="s">
        <v>363</v>
      </c>
      <c r="D108" s="337"/>
      <c r="E108" s="170">
        <v>1541.7</v>
      </c>
      <c r="F108" s="176"/>
      <c r="G108" s="176">
        <v>268.39999999999998</v>
      </c>
      <c r="H108" s="176">
        <f>135.2-5.4</f>
        <v>129.79999999999998</v>
      </c>
      <c r="I108" s="176">
        <v>129.80000000000001</v>
      </c>
      <c r="J108" s="176">
        <v>435.6</v>
      </c>
      <c r="K108" s="176"/>
      <c r="L108" s="176">
        <v>44</v>
      </c>
      <c r="M108" s="176">
        <v>44</v>
      </c>
      <c r="N108" s="176">
        <v>129.80000000000001</v>
      </c>
      <c r="O108" s="176">
        <v>129.80000000000001</v>
      </c>
      <c r="P108" s="176">
        <v>129.80000000000001</v>
      </c>
      <c r="Q108" s="176">
        <v>100.7</v>
      </c>
      <c r="R108" s="586">
        <f>SUM(F108:Q108)</f>
        <v>1541.6999999999998</v>
      </c>
      <c r="S108" s="335">
        <f t="shared" si="27"/>
        <v>398.19999999999993</v>
      </c>
      <c r="T108" s="337">
        <v>1454.9</v>
      </c>
      <c r="U108" s="337">
        <v>1504.7</v>
      </c>
      <c r="V108" s="337"/>
      <c r="W108" s="335">
        <f>AV108</f>
        <v>275.8</v>
      </c>
      <c r="X108" s="337"/>
      <c r="Y108" s="335">
        <f>AK108</f>
        <v>275.8</v>
      </c>
      <c r="Z108" s="335"/>
      <c r="AA108" s="335"/>
      <c r="AB108" s="335"/>
      <c r="AC108" s="335"/>
      <c r="AD108" s="335"/>
      <c r="AE108" s="335"/>
      <c r="AF108" s="335"/>
      <c r="AG108" s="335"/>
      <c r="AH108" s="335"/>
      <c r="AI108" s="335"/>
      <c r="AJ108" s="571"/>
      <c r="AK108" s="571">
        <v>275.8</v>
      </c>
      <c r="AL108" s="566"/>
      <c r="AM108" s="566"/>
      <c r="AN108" s="566"/>
      <c r="AO108" s="566"/>
      <c r="AP108" s="566"/>
      <c r="AQ108" s="566"/>
      <c r="AR108" s="566"/>
      <c r="AS108" s="566"/>
      <c r="AT108" s="566"/>
      <c r="AU108" s="566"/>
      <c r="AV108" s="602">
        <f>AU108+AT108+AS108+AR108+AQ108+AP108+AO108+AN108+AM108+AL108+AK108+AJ108</f>
        <v>275.8</v>
      </c>
      <c r="AW108" s="337"/>
      <c r="AX108" s="337"/>
      <c r="AY108" s="337"/>
      <c r="AZ108" s="170"/>
      <c r="BA108" s="102"/>
      <c r="BB108" s="186"/>
      <c r="BC108" s="186"/>
      <c r="BD108" s="186"/>
      <c r="BE108" s="186"/>
      <c r="BG108" s="204"/>
    </row>
    <row r="109" spans="1:59" s="19" customFormat="1" ht="81" customHeight="1" outlineLevel="7" x14ac:dyDescent="0.25">
      <c r="A109" s="18"/>
      <c r="B109" s="229" t="s">
        <v>375</v>
      </c>
      <c r="C109" s="20" t="s">
        <v>362</v>
      </c>
      <c r="D109" s="337">
        <v>64</v>
      </c>
      <c r="E109" s="170">
        <v>64.2</v>
      </c>
      <c r="F109" s="176"/>
      <c r="G109" s="176">
        <v>11.2</v>
      </c>
      <c r="H109" s="176">
        <v>5.4</v>
      </c>
      <c r="I109" s="176">
        <v>5.4</v>
      </c>
      <c r="J109" s="176">
        <v>18.100000000000001</v>
      </c>
      <c r="K109" s="176"/>
      <c r="L109" s="176">
        <v>1.8</v>
      </c>
      <c r="M109" s="176">
        <v>1.9</v>
      </c>
      <c r="N109" s="176">
        <v>5.4</v>
      </c>
      <c r="O109" s="176">
        <v>5.4</v>
      </c>
      <c r="P109" s="176">
        <v>5.4</v>
      </c>
      <c r="Q109" s="176">
        <v>4.2</v>
      </c>
      <c r="R109" s="586">
        <f>SUM(F109:Q109)</f>
        <v>64.199999999999989</v>
      </c>
      <c r="S109" s="335">
        <f t="shared" si="27"/>
        <v>16.600000000000001</v>
      </c>
      <c r="T109" s="337">
        <v>92.9</v>
      </c>
      <c r="U109" s="337">
        <v>96.1</v>
      </c>
      <c r="V109" s="337"/>
      <c r="W109" s="335">
        <f>AV109</f>
        <v>17.600000000000001</v>
      </c>
      <c r="X109" s="337"/>
      <c r="Y109" s="335">
        <f>AK109</f>
        <v>17.600000000000001</v>
      </c>
      <c r="Z109" s="335"/>
      <c r="AA109" s="335"/>
      <c r="AB109" s="335"/>
      <c r="AC109" s="335"/>
      <c r="AD109" s="335"/>
      <c r="AE109" s="335"/>
      <c r="AF109" s="335"/>
      <c r="AG109" s="335"/>
      <c r="AH109" s="335"/>
      <c r="AI109" s="335"/>
      <c r="AJ109" s="571"/>
      <c r="AK109" s="571">
        <v>17.600000000000001</v>
      </c>
      <c r="AL109" s="566"/>
      <c r="AM109" s="566"/>
      <c r="AN109" s="566"/>
      <c r="AO109" s="566"/>
      <c r="AP109" s="566"/>
      <c r="AQ109" s="566"/>
      <c r="AR109" s="566"/>
      <c r="AS109" s="566"/>
      <c r="AT109" s="566"/>
      <c r="AU109" s="566"/>
      <c r="AV109" s="602">
        <f>AU109+AT109+AS109+AR109+AQ109+AP109+AO109+AN109+AM109+AL109+AK109+AJ109</f>
        <v>17.600000000000001</v>
      </c>
      <c r="AW109" s="337"/>
      <c r="AX109" s="337"/>
      <c r="AY109" s="337"/>
      <c r="AZ109" s="170"/>
      <c r="BA109" s="102"/>
      <c r="BB109" s="186"/>
      <c r="BC109" s="186"/>
      <c r="BD109" s="186"/>
      <c r="BE109" s="186"/>
      <c r="BG109" s="204"/>
    </row>
    <row r="110" spans="1:59" s="19" customFormat="1" ht="23.25" customHeight="1" outlineLevel="7" x14ac:dyDescent="0.25">
      <c r="A110" s="18"/>
      <c r="B110" s="133" t="s">
        <v>229</v>
      </c>
      <c r="C110" s="20" t="s">
        <v>230</v>
      </c>
      <c r="D110" s="337"/>
      <c r="E110" s="170">
        <f>27342.5+9715</f>
        <v>37057.5</v>
      </c>
      <c r="F110" s="176">
        <v>9715</v>
      </c>
      <c r="G110" s="176"/>
      <c r="H110" s="176"/>
      <c r="I110" s="176"/>
      <c r="J110" s="176"/>
      <c r="K110" s="176"/>
      <c r="L110" s="176"/>
      <c r="M110" s="176"/>
      <c r="N110" s="176">
        <v>11700</v>
      </c>
      <c r="O110" s="176">
        <v>3642.5</v>
      </c>
      <c r="P110" s="176">
        <v>12000</v>
      </c>
      <c r="Q110" s="176"/>
      <c r="R110" s="586">
        <f>SUM(F110:Q110)</f>
        <v>37057.5</v>
      </c>
      <c r="S110" s="335">
        <f t="shared" si="27"/>
        <v>9715</v>
      </c>
      <c r="T110" s="337"/>
      <c r="U110" s="337">
        <f>T110</f>
        <v>0</v>
      </c>
      <c r="V110" s="337"/>
      <c r="W110" s="337"/>
      <c r="X110" s="337"/>
      <c r="Y110" s="337"/>
      <c r="Z110" s="337"/>
      <c r="AA110" s="337"/>
      <c r="AB110" s="337"/>
      <c r="AC110" s="337"/>
      <c r="AD110" s="337"/>
      <c r="AE110" s="337"/>
      <c r="AF110" s="337"/>
      <c r="AG110" s="337"/>
      <c r="AH110" s="337"/>
      <c r="AI110" s="337"/>
      <c r="AJ110" s="566"/>
      <c r="AK110" s="566"/>
      <c r="AL110" s="566"/>
      <c r="AM110" s="566"/>
      <c r="AN110" s="566"/>
      <c r="AO110" s="566"/>
      <c r="AP110" s="566"/>
      <c r="AQ110" s="566"/>
      <c r="AR110" s="566"/>
      <c r="AS110" s="566"/>
      <c r="AT110" s="566"/>
      <c r="AU110" s="566"/>
      <c r="AV110" s="602">
        <f>AU110+AT110+AS110+AR110+AQ110+AP110+AO110+AN110+AM110+AL110+AK110+AJ110</f>
        <v>0</v>
      </c>
      <c r="AW110" s="337"/>
      <c r="AX110" s="337"/>
      <c r="AY110" s="337"/>
      <c r="AZ110" s="170"/>
      <c r="BA110" s="102"/>
      <c r="BB110" s="186"/>
      <c r="BC110" s="186"/>
      <c r="BD110" s="186"/>
      <c r="BE110" s="186"/>
      <c r="BG110" s="204"/>
    </row>
    <row r="111" spans="1:59" s="19" customFormat="1" ht="22.5" customHeight="1" outlineLevel="7" x14ac:dyDescent="0.25">
      <c r="A111" s="18"/>
      <c r="B111" s="133" t="s">
        <v>205</v>
      </c>
      <c r="C111" s="20" t="s">
        <v>216</v>
      </c>
      <c r="D111" s="337"/>
      <c r="E111" s="170">
        <v>1826.4</v>
      </c>
      <c r="F111" s="176"/>
      <c r="G111" s="176"/>
      <c r="H111" s="176">
        <v>326.2</v>
      </c>
      <c r="I111" s="176"/>
      <c r="J111" s="176">
        <v>69.900000000000006</v>
      </c>
      <c r="K111" s="176"/>
      <c r="L111" s="176">
        <v>240</v>
      </c>
      <c r="M111" s="176">
        <v>547.29999999999995</v>
      </c>
      <c r="N111" s="176">
        <v>190</v>
      </c>
      <c r="O111" s="176">
        <v>263</v>
      </c>
      <c r="P111" s="176">
        <v>190</v>
      </c>
      <c r="Q111" s="176"/>
      <c r="R111" s="586">
        <f>SUM(F111:Q111)</f>
        <v>1826.4</v>
      </c>
      <c r="S111" s="335">
        <f t="shared" si="27"/>
        <v>326.2</v>
      </c>
      <c r="T111" s="337"/>
      <c r="U111" s="337">
        <f>T111</f>
        <v>0</v>
      </c>
      <c r="V111" s="337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566"/>
      <c r="AK111" s="566"/>
      <c r="AL111" s="566"/>
      <c r="AM111" s="566"/>
      <c r="AN111" s="566"/>
      <c r="AO111" s="566"/>
      <c r="AP111" s="566"/>
      <c r="AQ111" s="566"/>
      <c r="AR111" s="566"/>
      <c r="AS111" s="566"/>
      <c r="AT111" s="566"/>
      <c r="AU111" s="566"/>
      <c r="AV111" s="602">
        <f>AU111+AT111+AS111+AR111+AQ111+AP111+AO111+AN111+AM111+AL111+AK111+AJ111</f>
        <v>0</v>
      </c>
      <c r="AW111" s="337"/>
      <c r="AX111" s="337"/>
      <c r="AY111" s="337"/>
      <c r="AZ111" s="170"/>
      <c r="BA111" s="102"/>
      <c r="BB111" s="186"/>
      <c r="BC111" s="186"/>
      <c r="BD111" s="186"/>
      <c r="BE111" s="186"/>
      <c r="BG111" s="204"/>
    </row>
    <row r="112" spans="1:59" s="19" customFormat="1" ht="30" outlineLevel="7" x14ac:dyDescent="0.25">
      <c r="A112" s="18"/>
      <c r="B112" s="552" t="s">
        <v>659</v>
      </c>
      <c r="C112" s="20" t="s">
        <v>326</v>
      </c>
      <c r="D112" s="337"/>
      <c r="E112" s="170">
        <v>784.2</v>
      </c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>
        <v>784.2</v>
      </c>
      <c r="R112" s="586">
        <f t="shared" si="40"/>
        <v>784.2</v>
      </c>
      <c r="S112" s="335">
        <f t="shared" si="27"/>
        <v>0</v>
      </c>
      <c r="T112" s="337"/>
      <c r="U112" s="337">
        <f t="shared" si="29"/>
        <v>0</v>
      </c>
      <c r="V112" s="337"/>
      <c r="W112" s="337"/>
      <c r="X112" s="337"/>
      <c r="Y112" s="337"/>
      <c r="Z112" s="337"/>
      <c r="AA112" s="337"/>
      <c r="AB112" s="337"/>
      <c r="AC112" s="337"/>
      <c r="AD112" s="337"/>
      <c r="AE112" s="337"/>
      <c r="AF112" s="337"/>
      <c r="AG112" s="337"/>
      <c r="AH112" s="337"/>
      <c r="AI112" s="337"/>
      <c r="AJ112" s="566"/>
      <c r="AK112" s="566"/>
      <c r="AL112" s="566"/>
      <c r="AM112" s="566"/>
      <c r="AN112" s="566"/>
      <c r="AO112" s="566"/>
      <c r="AP112" s="566"/>
      <c r="AQ112" s="566"/>
      <c r="AR112" s="566"/>
      <c r="AS112" s="566"/>
      <c r="AT112" s="566"/>
      <c r="AU112" s="566"/>
      <c r="AV112" s="602">
        <f t="shared" si="28"/>
        <v>0</v>
      </c>
      <c r="AW112" s="337"/>
      <c r="AX112" s="337"/>
      <c r="AY112" s="337"/>
      <c r="AZ112" s="170"/>
      <c r="BA112" s="102"/>
      <c r="BB112" s="186"/>
      <c r="BC112" s="186"/>
      <c r="BD112" s="186"/>
      <c r="BE112" s="186"/>
      <c r="BG112" s="204"/>
    </row>
    <row r="113" spans="1:59" s="19" customFormat="1" ht="52.5" customHeight="1" outlineLevel="7" x14ac:dyDescent="0.25">
      <c r="A113" s="18"/>
      <c r="B113" s="552" t="s">
        <v>660</v>
      </c>
      <c r="C113" s="20" t="s">
        <v>251</v>
      </c>
      <c r="D113" s="337"/>
      <c r="E113" s="170">
        <v>310</v>
      </c>
      <c r="F113" s="176"/>
      <c r="G113" s="176"/>
      <c r="H113" s="176"/>
      <c r="I113" s="176"/>
      <c r="J113" s="176"/>
      <c r="K113" s="176"/>
      <c r="L113" s="176"/>
      <c r="M113" s="176">
        <v>310</v>
      </c>
      <c r="N113" s="176"/>
      <c r="O113" s="176"/>
      <c r="P113" s="176"/>
      <c r="Q113" s="176"/>
      <c r="R113" s="586">
        <f t="shared" si="40"/>
        <v>310</v>
      </c>
      <c r="S113" s="335">
        <f t="shared" si="27"/>
        <v>0</v>
      </c>
      <c r="T113" s="337"/>
      <c r="U113" s="337">
        <f t="shared" si="29"/>
        <v>0</v>
      </c>
      <c r="V113" s="337"/>
      <c r="W113" s="337"/>
      <c r="X113" s="337"/>
      <c r="Y113" s="337"/>
      <c r="Z113" s="337"/>
      <c r="AA113" s="337"/>
      <c r="AB113" s="337"/>
      <c r="AC113" s="337"/>
      <c r="AD113" s="337"/>
      <c r="AE113" s="337"/>
      <c r="AF113" s="337"/>
      <c r="AG113" s="337"/>
      <c r="AH113" s="337"/>
      <c r="AI113" s="337"/>
      <c r="AJ113" s="566"/>
      <c r="AK113" s="566"/>
      <c r="AL113" s="566"/>
      <c r="AM113" s="566"/>
      <c r="AN113" s="566"/>
      <c r="AO113" s="566"/>
      <c r="AP113" s="566"/>
      <c r="AQ113" s="566"/>
      <c r="AR113" s="566"/>
      <c r="AS113" s="566"/>
      <c r="AT113" s="566"/>
      <c r="AU113" s="566"/>
      <c r="AV113" s="602">
        <f t="shared" si="28"/>
        <v>0</v>
      </c>
      <c r="AW113" s="337"/>
      <c r="AX113" s="337"/>
      <c r="AY113" s="337"/>
      <c r="AZ113" s="170"/>
      <c r="BA113" s="102"/>
      <c r="BB113" s="186"/>
      <c r="BC113" s="186"/>
      <c r="BD113" s="186"/>
      <c r="BE113" s="186"/>
      <c r="BG113" s="204"/>
    </row>
    <row r="114" spans="1:59" s="19" customFormat="1" ht="44.25" customHeight="1" outlineLevel="7" x14ac:dyDescent="0.25">
      <c r="A114" s="18"/>
      <c r="B114" s="232" t="s">
        <v>385</v>
      </c>
      <c r="C114" s="20" t="s">
        <v>384</v>
      </c>
      <c r="D114" s="337"/>
      <c r="E114" s="170">
        <v>700</v>
      </c>
      <c r="F114" s="176"/>
      <c r="G114" s="176"/>
      <c r="H114" s="176">
        <v>700</v>
      </c>
      <c r="I114" s="176"/>
      <c r="J114" s="176"/>
      <c r="K114" s="176"/>
      <c r="L114" s="176"/>
      <c r="M114" s="176"/>
      <c r="N114" s="176"/>
      <c r="O114" s="176"/>
      <c r="P114" s="176"/>
      <c r="Q114" s="176"/>
      <c r="R114" s="586">
        <f t="shared" si="40"/>
        <v>700</v>
      </c>
      <c r="S114" s="335">
        <f t="shared" si="27"/>
        <v>700</v>
      </c>
      <c r="T114" s="337"/>
      <c r="U114" s="337">
        <f t="shared" si="29"/>
        <v>0</v>
      </c>
      <c r="V114" s="337"/>
      <c r="W114" s="337"/>
      <c r="X114" s="337"/>
      <c r="Y114" s="337"/>
      <c r="Z114" s="337"/>
      <c r="AA114" s="337"/>
      <c r="AB114" s="337"/>
      <c r="AC114" s="337"/>
      <c r="AD114" s="337"/>
      <c r="AE114" s="337"/>
      <c r="AF114" s="337"/>
      <c r="AG114" s="337"/>
      <c r="AH114" s="337"/>
      <c r="AI114" s="337"/>
      <c r="AJ114" s="566"/>
      <c r="AK114" s="566"/>
      <c r="AL114" s="566"/>
      <c r="AM114" s="566"/>
      <c r="AN114" s="566"/>
      <c r="AO114" s="566"/>
      <c r="AP114" s="566"/>
      <c r="AQ114" s="566"/>
      <c r="AR114" s="566"/>
      <c r="AS114" s="566"/>
      <c r="AT114" s="566"/>
      <c r="AU114" s="566"/>
      <c r="AV114" s="602">
        <f t="shared" si="28"/>
        <v>0</v>
      </c>
      <c r="AW114" s="337"/>
      <c r="AX114" s="337"/>
      <c r="AY114" s="337"/>
      <c r="AZ114" s="170"/>
      <c r="BA114" s="102"/>
      <c r="BB114" s="186"/>
      <c r="BC114" s="186"/>
      <c r="BD114" s="186"/>
      <c r="BE114" s="186"/>
      <c r="BG114" s="204"/>
    </row>
    <row r="115" spans="1:59" s="19" customFormat="1" ht="67.5" customHeight="1" outlineLevel="7" x14ac:dyDescent="0.25">
      <c r="A115" s="18"/>
      <c r="B115" s="9" t="s">
        <v>335</v>
      </c>
      <c r="C115" s="20" t="s">
        <v>274</v>
      </c>
      <c r="D115" s="337"/>
      <c r="E115" s="170">
        <v>1242.5</v>
      </c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>
        <v>1242.5</v>
      </c>
      <c r="Q115" s="176"/>
      <c r="R115" s="586">
        <f t="shared" si="40"/>
        <v>1242.5</v>
      </c>
      <c r="S115" s="335">
        <f t="shared" si="27"/>
        <v>0</v>
      </c>
      <c r="T115" s="337"/>
      <c r="U115" s="337">
        <f t="shared" si="29"/>
        <v>0</v>
      </c>
      <c r="V115" s="337"/>
      <c r="W115" s="337"/>
      <c r="X115" s="337"/>
      <c r="Y115" s="337"/>
      <c r="Z115" s="337"/>
      <c r="AA115" s="337"/>
      <c r="AB115" s="337"/>
      <c r="AC115" s="337"/>
      <c r="AD115" s="337"/>
      <c r="AE115" s="337"/>
      <c r="AF115" s="337"/>
      <c r="AG115" s="337"/>
      <c r="AH115" s="337"/>
      <c r="AI115" s="337"/>
      <c r="AJ115" s="566"/>
      <c r="AK115" s="566"/>
      <c r="AL115" s="566"/>
      <c r="AM115" s="566"/>
      <c r="AN115" s="566"/>
      <c r="AO115" s="566"/>
      <c r="AP115" s="566"/>
      <c r="AQ115" s="566"/>
      <c r="AR115" s="566"/>
      <c r="AS115" s="566"/>
      <c r="AT115" s="566"/>
      <c r="AU115" s="566"/>
      <c r="AV115" s="602">
        <f t="shared" si="28"/>
        <v>0</v>
      </c>
      <c r="AW115" s="337"/>
      <c r="AX115" s="337"/>
      <c r="AY115" s="337"/>
      <c r="AZ115" s="170"/>
      <c r="BA115" s="102"/>
      <c r="BB115" s="186"/>
      <c r="BC115" s="186"/>
      <c r="BD115" s="186"/>
      <c r="BE115" s="186"/>
      <c r="BG115" s="204"/>
    </row>
    <row r="116" spans="1:59" s="19" customFormat="1" ht="66.75" customHeight="1" outlineLevel="7" x14ac:dyDescent="0.25">
      <c r="A116" s="18"/>
      <c r="B116" s="433" t="s">
        <v>572</v>
      </c>
      <c r="C116" s="307"/>
      <c r="D116" s="337"/>
      <c r="E116" s="170"/>
      <c r="F116" s="176">
        <v>-43.8</v>
      </c>
      <c r="G116" s="176">
        <v>43.8</v>
      </c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586">
        <f t="shared" si="40"/>
        <v>0</v>
      </c>
      <c r="S116" s="335">
        <f t="shared" si="27"/>
        <v>0</v>
      </c>
      <c r="T116" s="337"/>
      <c r="U116" s="337">
        <f t="shared" si="29"/>
        <v>0</v>
      </c>
      <c r="V116" s="337"/>
      <c r="W116" s="337"/>
      <c r="X116" s="337"/>
      <c r="Y116" s="337"/>
      <c r="Z116" s="337"/>
      <c r="AA116" s="337"/>
      <c r="AB116" s="337"/>
      <c r="AC116" s="337"/>
      <c r="AD116" s="337"/>
      <c r="AE116" s="337"/>
      <c r="AF116" s="337"/>
      <c r="AG116" s="337"/>
      <c r="AH116" s="337"/>
      <c r="AI116" s="337"/>
      <c r="AJ116" s="566"/>
      <c r="AK116" s="566"/>
      <c r="AL116" s="566"/>
      <c r="AM116" s="566"/>
      <c r="AN116" s="566"/>
      <c r="AO116" s="566"/>
      <c r="AP116" s="566"/>
      <c r="AQ116" s="566"/>
      <c r="AR116" s="566"/>
      <c r="AS116" s="566"/>
      <c r="AT116" s="566"/>
      <c r="AU116" s="566"/>
      <c r="AV116" s="602">
        <f t="shared" si="28"/>
        <v>0</v>
      </c>
      <c r="AW116" s="337"/>
      <c r="AX116" s="337"/>
      <c r="AY116" s="337"/>
      <c r="AZ116" s="170"/>
      <c r="BA116" s="102"/>
      <c r="BB116" s="186"/>
      <c r="BC116" s="186"/>
      <c r="BD116" s="186"/>
      <c r="BE116" s="186"/>
      <c r="BG116" s="204"/>
    </row>
    <row r="117" spans="1:59" s="19" customFormat="1" ht="72" outlineLevel="7" x14ac:dyDescent="0.25">
      <c r="A117" s="18"/>
      <c r="B117" s="306" t="s">
        <v>646</v>
      </c>
      <c r="C117" s="307"/>
      <c r="D117" s="346"/>
      <c r="E117" s="333">
        <v>131.19999999999999</v>
      </c>
      <c r="F117" s="236"/>
      <c r="G117" s="236"/>
      <c r="H117" s="236"/>
      <c r="I117" s="236"/>
      <c r="J117" s="236"/>
      <c r="K117" s="236"/>
      <c r="L117" s="236"/>
      <c r="M117" s="236"/>
      <c r="N117" s="236"/>
      <c r="O117" s="236">
        <v>131.19999999999999</v>
      </c>
      <c r="P117" s="236"/>
      <c r="Q117" s="236"/>
      <c r="R117" s="586">
        <v>131.19999999999999</v>
      </c>
      <c r="S117" s="335">
        <f t="shared" si="27"/>
        <v>0</v>
      </c>
      <c r="T117" s="337"/>
      <c r="U117" s="337">
        <f t="shared" si="29"/>
        <v>0</v>
      </c>
      <c r="V117" s="337"/>
      <c r="W117" s="337"/>
      <c r="X117" s="337"/>
      <c r="Y117" s="337"/>
      <c r="Z117" s="337"/>
      <c r="AA117" s="337"/>
      <c r="AB117" s="337"/>
      <c r="AC117" s="337"/>
      <c r="AD117" s="337"/>
      <c r="AE117" s="337"/>
      <c r="AF117" s="337"/>
      <c r="AG117" s="337"/>
      <c r="AH117" s="337"/>
      <c r="AI117" s="337"/>
      <c r="AJ117" s="566"/>
      <c r="AK117" s="566"/>
      <c r="AL117" s="566"/>
      <c r="AM117" s="566"/>
      <c r="AN117" s="566"/>
      <c r="AO117" s="566"/>
      <c r="AP117" s="566"/>
      <c r="AQ117" s="566"/>
      <c r="AR117" s="566"/>
      <c r="AS117" s="566"/>
      <c r="AT117" s="566"/>
      <c r="AU117" s="566"/>
      <c r="AV117" s="602">
        <f t="shared" si="28"/>
        <v>0</v>
      </c>
      <c r="AW117" s="337"/>
      <c r="AX117" s="337"/>
      <c r="AY117" s="337"/>
      <c r="AZ117" s="435"/>
      <c r="BA117" s="266"/>
      <c r="BB117" s="266"/>
      <c r="BC117" s="266"/>
      <c r="BD117" s="266"/>
      <c r="BE117" s="266"/>
    </row>
    <row r="118" spans="1:59" s="19" customFormat="1" ht="57.75" outlineLevel="7" x14ac:dyDescent="0.25">
      <c r="A118" s="18"/>
      <c r="B118" s="592" t="s">
        <v>196</v>
      </c>
      <c r="C118" s="307"/>
      <c r="D118" s="346"/>
      <c r="E118" s="333">
        <v>736.4</v>
      </c>
      <c r="F118" s="236"/>
      <c r="G118" s="236">
        <v>736.4</v>
      </c>
      <c r="H118" s="236"/>
      <c r="I118" s="236"/>
      <c r="J118" s="236"/>
      <c r="K118" s="236"/>
      <c r="L118" s="236"/>
      <c r="M118" s="236"/>
      <c r="N118" s="236"/>
      <c r="O118" s="236"/>
      <c r="P118" s="236"/>
      <c r="Q118" s="236"/>
      <c r="R118" s="586">
        <f>SUM(F118:Q118)</f>
        <v>736.4</v>
      </c>
      <c r="S118" s="335">
        <f t="shared" si="27"/>
        <v>736.4</v>
      </c>
      <c r="T118" s="337"/>
      <c r="U118" s="337">
        <f t="shared" si="29"/>
        <v>0</v>
      </c>
      <c r="V118" s="337"/>
      <c r="W118" s="337">
        <f>AV118</f>
        <v>2211.5</v>
      </c>
      <c r="X118" s="337"/>
      <c r="Y118" s="337">
        <f>AK118</f>
        <v>2211.5</v>
      </c>
      <c r="Z118" s="337"/>
      <c r="AA118" s="337"/>
      <c r="AB118" s="337"/>
      <c r="AC118" s="337"/>
      <c r="AD118" s="337"/>
      <c r="AE118" s="337"/>
      <c r="AF118" s="337"/>
      <c r="AG118" s="337"/>
      <c r="AH118" s="337"/>
      <c r="AI118" s="337"/>
      <c r="AJ118" s="566"/>
      <c r="AK118" s="566">
        <f>2132.9+78.6</f>
        <v>2211.5</v>
      </c>
      <c r="AL118" s="566"/>
      <c r="AM118" s="566"/>
      <c r="AN118" s="566"/>
      <c r="AO118" s="566"/>
      <c r="AP118" s="566"/>
      <c r="AQ118" s="566"/>
      <c r="AR118" s="566"/>
      <c r="AS118" s="566"/>
      <c r="AT118" s="566"/>
      <c r="AU118" s="566"/>
      <c r="AV118" s="602">
        <f t="shared" si="28"/>
        <v>2211.5</v>
      </c>
      <c r="AW118" s="337"/>
      <c r="AX118" s="337"/>
      <c r="AY118" s="337"/>
      <c r="AZ118" s="435"/>
      <c r="BA118" s="266"/>
      <c r="BB118" s="266"/>
      <c r="BC118" s="266"/>
      <c r="BD118" s="266"/>
      <c r="BE118" s="266"/>
    </row>
    <row r="119" spans="1:59" s="631" customFormat="1" ht="72" outlineLevel="7" x14ac:dyDescent="0.25">
      <c r="A119" s="8"/>
      <c r="B119" s="306" t="s">
        <v>197</v>
      </c>
      <c r="C119" s="307"/>
      <c r="D119" s="346"/>
      <c r="E119" s="333">
        <v>-728.7</v>
      </c>
      <c r="F119" s="236">
        <v>-5653.5</v>
      </c>
      <c r="G119" s="236">
        <v>5056</v>
      </c>
      <c r="H119" s="236"/>
      <c r="I119" s="236"/>
      <c r="J119" s="236"/>
      <c r="K119" s="236"/>
      <c r="L119" s="236"/>
      <c r="M119" s="236"/>
      <c r="N119" s="236"/>
      <c r="O119" s="236">
        <v>-131.19999999999999</v>
      </c>
      <c r="P119" s="236"/>
      <c r="Q119" s="236"/>
      <c r="R119" s="586">
        <f>SUM(F119:Q119)</f>
        <v>-728.7</v>
      </c>
      <c r="S119" s="335">
        <f t="shared" si="27"/>
        <v>-597.5</v>
      </c>
      <c r="T119" s="337"/>
      <c r="U119" s="337">
        <v>-3079.3</v>
      </c>
      <c r="V119" s="337"/>
      <c r="W119" s="337">
        <f>AV119</f>
        <v>-4976.3</v>
      </c>
      <c r="X119" s="337">
        <f>AJ119</f>
        <v>-3079.3</v>
      </c>
      <c r="Y119" s="337">
        <f>AK119</f>
        <v>-1897</v>
      </c>
      <c r="Z119" s="337"/>
      <c r="AA119" s="337"/>
      <c r="AB119" s="337"/>
      <c r="AC119" s="337"/>
      <c r="AD119" s="337"/>
      <c r="AE119" s="337"/>
      <c r="AF119" s="337"/>
      <c r="AG119" s="337"/>
      <c r="AH119" s="337"/>
      <c r="AI119" s="337"/>
      <c r="AJ119" s="160">
        <v>-3079.3</v>
      </c>
      <c r="AK119" s="566">
        <v>-1897</v>
      </c>
      <c r="AL119" s="566"/>
      <c r="AM119" s="566"/>
      <c r="AN119" s="566"/>
      <c r="AO119" s="566"/>
      <c r="AP119" s="566"/>
      <c r="AQ119" s="566"/>
      <c r="AR119" s="566"/>
      <c r="AS119" s="566"/>
      <c r="AT119" s="566"/>
      <c r="AU119" s="566"/>
      <c r="AV119" s="602">
        <f t="shared" si="28"/>
        <v>-4976.3</v>
      </c>
      <c r="AW119" s="337"/>
      <c r="AX119" s="337"/>
      <c r="AY119" s="337"/>
      <c r="AZ119" s="435"/>
      <c r="BA119" s="266"/>
      <c r="BB119" s="266"/>
      <c r="BC119" s="266"/>
      <c r="BD119" s="266"/>
      <c r="BE119" s="266"/>
    </row>
    <row r="120" spans="1:59" s="631" customFormat="1" ht="36.75" customHeight="1" x14ac:dyDescent="0.25">
      <c r="A120" s="13"/>
      <c r="B120" s="596" t="s">
        <v>292</v>
      </c>
      <c r="C120" s="597"/>
      <c r="D120" s="598" t="e">
        <f t="shared" ref="D120:Q120" si="41">D33+D32</f>
        <v>#REF!</v>
      </c>
      <c r="E120" s="598" t="e">
        <f>E33+E32</f>
        <v>#REF!</v>
      </c>
      <c r="F120" s="598" t="e">
        <f t="shared" si="41"/>
        <v>#REF!</v>
      </c>
      <c r="G120" s="598" t="e">
        <f t="shared" si="41"/>
        <v>#REF!</v>
      </c>
      <c r="H120" s="598" t="e">
        <f t="shared" si="41"/>
        <v>#REF!</v>
      </c>
      <c r="I120" s="598" t="e">
        <f t="shared" si="41"/>
        <v>#REF!</v>
      </c>
      <c r="J120" s="598" t="e">
        <f t="shared" si="41"/>
        <v>#REF!</v>
      </c>
      <c r="K120" s="598" t="e">
        <f t="shared" si="41"/>
        <v>#REF!</v>
      </c>
      <c r="L120" s="598" t="e">
        <f t="shared" si="41"/>
        <v>#REF!</v>
      </c>
      <c r="M120" s="598" t="e">
        <f t="shared" si="41"/>
        <v>#REF!</v>
      </c>
      <c r="N120" s="598" t="e">
        <f t="shared" si="41"/>
        <v>#REF!</v>
      </c>
      <c r="O120" s="598" t="e">
        <f t="shared" si="41"/>
        <v>#REF!</v>
      </c>
      <c r="P120" s="598" t="e">
        <f t="shared" si="41"/>
        <v>#REF!</v>
      </c>
      <c r="Q120" s="598" t="e">
        <f t="shared" si="41"/>
        <v>#REF!</v>
      </c>
      <c r="R120" s="598">
        <f>R33+R32</f>
        <v>1230865.5000000002</v>
      </c>
      <c r="S120" s="598">
        <f t="shared" ref="S120:AY120" si="42">S33+S32</f>
        <v>235828.3</v>
      </c>
      <c r="T120" s="598">
        <f t="shared" si="42"/>
        <v>1104164.7</v>
      </c>
      <c r="U120" s="598">
        <f t="shared" si="42"/>
        <v>1102232.7</v>
      </c>
      <c r="V120" s="598">
        <f t="shared" si="42"/>
        <v>390794.8</v>
      </c>
      <c r="W120" s="598">
        <f t="shared" si="42"/>
        <v>156493.19999999998</v>
      </c>
      <c r="X120" s="598">
        <f t="shared" si="42"/>
        <v>57138.2</v>
      </c>
      <c r="Y120" s="598">
        <f t="shared" si="42"/>
        <v>73981.099999999991</v>
      </c>
      <c r="Z120" s="598">
        <f t="shared" si="42"/>
        <v>25373.899999999998</v>
      </c>
      <c r="AA120" s="598">
        <f t="shared" si="42"/>
        <v>34513.699999999997</v>
      </c>
      <c r="AB120" s="598">
        <f t="shared" si="42"/>
        <v>22526.799999999999</v>
      </c>
      <c r="AC120" s="598">
        <f t="shared" si="42"/>
        <v>31054.2</v>
      </c>
      <c r="AD120" s="598">
        <f t="shared" si="42"/>
        <v>36200.500000000007</v>
      </c>
      <c r="AE120" s="598">
        <f t="shared" si="42"/>
        <v>26646.7</v>
      </c>
      <c r="AF120" s="598">
        <f t="shared" si="42"/>
        <v>29217.9</v>
      </c>
      <c r="AG120" s="598">
        <f t="shared" si="42"/>
        <v>35595.1</v>
      </c>
      <c r="AH120" s="598">
        <f t="shared" si="42"/>
        <v>32409.3</v>
      </c>
      <c r="AI120" s="598">
        <f t="shared" si="42"/>
        <v>84436.2</v>
      </c>
      <c r="AJ120" s="598">
        <f t="shared" si="42"/>
        <v>57441.099999999991</v>
      </c>
      <c r="AK120" s="598">
        <f t="shared" si="42"/>
        <v>69952.099999999991</v>
      </c>
      <c r="AL120" s="598">
        <f t="shared" si="42"/>
        <v>13667.700000000003</v>
      </c>
      <c r="AM120" s="598">
        <f t="shared" si="42"/>
        <v>0</v>
      </c>
      <c r="AN120" s="598">
        <f t="shared" si="42"/>
        <v>0</v>
      </c>
      <c r="AO120" s="598">
        <f t="shared" si="42"/>
        <v>0</v>
      </c>
      <c r="AP120" s="598">
        <f t="shared" si="42"/>
        <v>0</v>
      </c>
      <c r="AQ120" s="598">
        <f t="shared" si="42"/>
        <v>0</v>
      </c>
      <c r="AR120" s="598">
        <f t="shared" si="42"/>
        <v>0</v>
      </c>
      <c r="AS120" s="598">
        <f t="shared" si="42"/>
        <v>0</v>
      </c>
      <c r="AT120" s="598">
        <f t="shared" si="42"/>
        <v>0</v>
      </c>
      <c r="AU120" s="598">
        <f t="shared" si="42"/>
        <v>0</v>
      </c>
      <c r="AV120" s="598">
        <f t="shared" si="42"/>
        <v>141060.89999999997</v>
      </c>
      <c r="AW120" s="598">
        <f t="shared" si="42"/>
        <v>-11706.2</v>
      </c>
      <c r="AX120" s="598">
        <f t="shared" si="42"/>
        <v>-15432.300000000003</v>
      </c>
      <c r="AY120" s="598">
        <f t="shared" si="42"/>
        <v>-15432.300000000003</v>
      </c>
      <c r="AZ120" s="169"/>
      <c r="BA120" s="106"/>
      <c r="BB120" s="187"/>
      <c r="BC120" s="106"/>
      <c r="BD120" s="187"/>
      <c r="BE120" s="187"/>
    </row>
    <row r="121" spans="1:59" ht="12.75" customHeight="1" x14ac:dyDescent="0.25">
      <c r="D121" s="93">
        <v>1120340.6000000001</v>
      </c>
      <c r="R121" s="93">
        <v>1230865.5</v>
      </c>
      <c r="T121" s="561">
        <v>1104164.7</v>
      </c>
      <c r="AJ121" s="567"/>
      <c r="AK121" s="567"/>
      <c r="AL121" s="567"/>
      <c r="AM121" s="567"/>
      <c r="AN121" s="567"/>
      <c r="AO121" s="567"/>
      <c r="AP121" s="567"/>
      <c r="AQ121" s="567"/>
      <c r="AR121" s="567"/>
      <c r="AS121" s="567"/>
      <c r="AT121" s="567"/>
      <c r="AU121" s="567"/>
      <c r="AV121" s="567"/>
    </row>
    <row r="122" spans="1:59" ht="12.75" customHeight="1" x14ac:dyDescent="0.25">
      <c r="AV122" s="623"/>
      <c r="BA122" s="100"/>
      <c r="BC122" s="100"/>
      <c r="BE122" s="100"/>
    </row>
    <row r="123" spans="1:59" ht="12.75" customHeight="1" x14ac:dyDescent="0.25">
      <c r="D123" s="104"/>
      <c r="AW123" s="104"/>
      <c r="AX123" s="104"/>
      <c r="AY123" s="104"/>
      <c r="BA123" s="100"/>
      <c r="BB123" s="100"/>
      <c r="BC123" s="100"/>
      <c r="BE123" s="436"/>
    </row>
    <row r="124" spans="1:59" ht="12.75" customHeight="1" x14ac:dyDescent="0.25">
      <c r="BB124" s="100"/>
    </row>
    <row r="126" spans="1:59" ht="12.75" customHeight="1" x14ac:dyDescent="0.25">
      <c r="AZ126" s="100"/>
    </row>
  </sheetData>
  <mergeCells count="1">
    <mergeCell ref="B1:BE1"/>
  </mergeCells>
  <pageMargins left="0.55118110236220474" right="0.11811023622047245" top="0.31496062992125984" bottom="0.11811023622047245" header="0.51181102362204722" footer="0.51181102362204722"/>
  <pageSetup paperSize="9" scale="65" fitToHeight="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S126"/>
  <sheetViews>
    <sheetView showGridLines="0" tabSelected="1" topLeftCell="B1" zoomScale="80" zoomScaleNormal="80" workbookViewId="0">
      <pane ySplit="3" topLeftCell="A4" activePane="bottomLeft" state="frozen"/>
      <selection activeCell="B1" sqref="B1"/>
      <selection pane="bottomLeft" activeCell="Y23" sqref="Y23"/>
    </sheetView>
  </sheetViews>
  <sheetFormatPr defaultRowHeight="12.75" customHeight="1" outlineLevelRow="7" x14ac:dyDescent="0.25"/>
  <cols>
    <col min="1" max="1" width="17.85546875" style="6" hidden="1" customWidth="1"/>
    <col min="2" max="2" width="39" customWidth="1"/>
    <col min="3" max="3" width="5.140625" customWidth="1"/>
    <col min="4" max="4" width="13.5703125" style="93" hidden="1" customWidth="1"/>
    <col min="5" max="5" width="14.42578125" hidden="1" customWidth="1"/>
    <col min="6" max="7" width="14.42578125" style="93" hidden="1" customWidth="1"/>
    <col min="8" max="8" width="11.5703125" style="93" hidden="1" customWidth="1"/>
    <col min="9" max="9" width="14.42578125" style="93" hidden="1" customWidth="1"/>
    <col min="10" max="10" width="13.7109375" style="93" hidden="1" customWidth="1"/>
    <col min="11" max="12" width="14.42578125" style="93" hidden="1" customWidth="1"/>
    <col min="13" max="13" width="12.140625" style="93" hidden="1" customWidth="1"/>
    <col min="14" max="14" width="12" style="93" hidden="1" customWidth="1"/>
    <col min="15" max="15" width="14.42578125" style="93" hidden="1" customWidth="1"/>
    <col min="16" max="16" width="13.7109375" style="93" hidden="1" customWidth="1"/>
    <col min="17" max="17" width="14.42578125" style="93" hidden="1" customWidth="1"/>
    <col min="18" max="18" width="13" style="93" hidden="1" customWidth="1"/>
    <col min="19" max="19" width="15" style="564" customWidth="1"/>
    <col min="20" max="20" width="13" style="561" hidden="1" customWidth="1"/>
    <col min="21" max="21" width="14.42578125" style="561" customWidth="1"/>
    <col min="22" max="22" width="13.5703125" style="561" hidden="1" customWidth="1"/>
    <col min="23" max="23" width="13.5703125" style="561" customWidth="1"/>
    <col min="24" max="24" width="13.5703125" style="561" hidden="1" customWidth="1"/>
    <col min="25" max="25" width="13.5703125" style="561" customWidth="1"/>
    <col min="26" max="36" width="13.5703125" style="561" hidden="1" customWidth="1"/>
    <col min="37" max="37" width="13" style="561" customWidth="1"/>
    <col min="38" max="47" width="13" style="561" hidden="1" customWidth="1"/>
    <col min="48" max="48" width="15.140625" style="561" customWidth="1"/>
    <col min="49" max="51" width="13.85546875" style="93" customWidth="1"/>
    <col min="52" max="52" width="15.85546875" hidden="1" customWidth="1"/>
    <col min="53" max="53" width="13" hidden="1" customWidth="1"/>
    <col min="54" max="54" width="12.7109375" hidden="1" customWidth="1"/>
    <col min="55" max="55" width="13.7109375" hidden="1" customWidth="1"/>
    <col min="56" max="56" width="13.85546875" hidden="1" customWidth="1"/>
    <col min="57" max="57" width="13.28515625" hidden="1" customWidth="1"/>
    <col min="58" max="58" width="19" hidden="1" customWidth="1"/>
    <col min="59" max="59" width="13.5703125" hidden="1" customWidth="1"/>
    <col min="60" max="60" width="13" hidden="1" customWidth="1"/>
    <col min="61" max="67" width="0" hidden="1" customWidth="1"/>
    <col min="70" max="70" width="15.42578125" customWidth="1"/>
  </cols>
  <sheetData>
    <row r="1" spans="1:60" ht="15" customHeight="1" x14ac:dyDescent="0.2">
      <c r="A1" s="3"/>
      <c r="B1" s="632" t="s">
        <v>706</v>
      </c>
      <c r="C1" s="633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634"/>
      <c r="W1" s="634"/>
      <c r="X1" s="634"/>
      <c r="Y1" s="634"/>
      <c r="Z1" s="634"/>
      <c r="AA1" s="634"/>
      <c r="AB1" s="634"/>
      <c r="AC1" s="634"/>
      <c r="AD1" s="634"/>
      <c r="AE1" s="634"/>
      <c r="AF1" s="634"/>
      <c r="AG1" s="634"/>
      <c r="AH1" s="634"/>
      <c r="AI1" s="634"/>
      <c r="AJ1" s="634"/>
      <c r="AK1" s="634"/>
      <c r="AL1" s="634"/>
      <c r="AM1" s="634"/>
      <c r="AN1" s="634"/>
      <c r="AO1" s="634"/>
      <c r="AP1" s="634"/>
      <c r="AQ1" s="634"/>
      <c r="AR1" s="634"/>
      <c r="AS1" s="634"/>
      <c r="AT1" s="634"/>
      <c r="AU1" s="634"/>
      <c r="AV1" s="634"/>
      <c r="AW1" s="634"/>
      <c r="AX1" s="634"/>
      <c r="AY1" s="634"/>
      <c r="AZ1" s="634"/>
      <c r="BA1" s="634"/>
      <c r="BB1" s="634"/>
      <c r="BC1" s="634"/>
      <c r="BD1" s="634"/>
      <c r="BE1" s="634"/>
    </row>
    <row r="2" spans="1:60" ht="15" customHeight="1" x14ac:dyDescent="0.25">
      <c r="A2" s="3"/>
      <c r="C2" s="1"/>
      <c r="AW2" s="244" t="s">
        <v>367</v>
      </c>
      <c r="AX2" s="244"/>
      <c r="AY2" s="244"/>
      <c r="BA2" s="244"/>
    </row>
    <row r="3" spans="1:60" ht="59.25" customHeight="1" x14ac:dyDescent="0.25">
      <c r="A3" s="4" t="s">
        <v>0</v>
      </c>
      <c r="B3" s="63" t="s">
        <v>1</v>
      </c>
      <c r="C3" s="63"/>
      <c r="D3" s="307" t="s">
        <v>655</v>
      </c>
      <c r="E3" s="327" t="s">
        <v>661</v>
      </c>
      <c r="F3" s="303" t="s">
        <v>359</v>
      </c>
      <c r="G3" s="303" t="s">
        <v>361</v>
      </c>
      <c r="H3" s="303" t="s">
        <v>368</v>
      </c>
      <c r="I3" s="303" t="s">
        <v>380</v>
      </c>
      <c r="J3" s="303" t="s">
        <v>574</v>
      </c>
      <c r="K3" s="303" t="s">
        <v>357</v>
      </c>
      <c r="L3" s="303" t="s">
        <v>358</v>
      </c>
      <c r="M3" s="303" t="s">
        <v>409</v>
      </c>
      <c r="N3" s="303" t="s">
        <v>410</v>
      </c>
      <c r="O3" s="303" t="s">
        <v>420</v>
      </c>
      <c r="P3" s="303" t="s">
        <v>427</v>
      </c>
      <c r="Q3" s="303" t="s">
        <v>549</v>
      </c>
      <c r="R3" s="589" t="s">
        <v>573</v>
      </c>
      <c r="S3" s="565" t="s">
        <v>703</v>
      </c>
      <c r="T3" s="572" t="s">
        <v>667</v>
      </c>
      <c r="U3" s="573" t="s">
        <v>668</v>
      </c>
      <c r="V3" s="562" t="s">
        <v>563</v>
      </c>
      <c r="W3" s="562" t="s">
        <v>672</v>
      </c>
      <c r="X3" s="562" t="s">
        <v>443</v>
      </c>
      <c r="Y3" s="563" t="s">
        <v>453</v>
      </c>
      <c r="Z3" s="562" t="s">
        <v>455</v>
      </c>
      <c r="AA3" s="562" t="s">
        <v>460</v>
      </c>
      <c r="AB3" s="562" t="s">
        <v>467</v>
      </c>
      <c r="AC3" s="563" t="s">
        <v>468</v>
      </c>
      <c r="AD3" s="562" t="s">
        <v>478</v>
      </c>
      <c r="AE3" s="562" t="s">
        <v>481</v>
      </c>
      <c r="AF3" s="563" t="s">
        <v>482</v>
      </c>
      <c r="AG3" s="562" t="s">
        <v>483</v>
      </c>
      <c r="AH3" s="563" t="s">
        <v>484</v>
      </c>
      <c r="AI3" s="563" t="s">
        <v>485</v>
      </c>
      <c r="AJ3" s="574" t="s">
        <v>359</v>
      </c>
      <c r="AK3" s="574" t="s">
        <v>361</v>
      </c>
      <c r="AL3" s="574" t="s">
        <v>368</v>
      </c>
      <c r="AM3" s="574" t="s">
        <v>380</v>
      </c>
      <c r="AN3" s="574" t="s">
        <v>574</v>
      </c>
      <c r="AO3" s="574" t="s">
        <v>357</v>
      </c>
      <c r="AP3" s="574" t="s">
        <v>358</v>
      </c>
      <c r="AQ3" s="574" t="s">
        <v>409</v>
      </c>
      <c r="AR3" s="574" t="s">
        <v>410</v>
      </c>
      <c r="AS3" s="574" t="s">
        <v>420</v>
      </c>
      <c r="AT3" s="574" t="s">
        <v>427</v>
      </c>
      <c r="AU3" s="574" t="s">
        <v>549</v>
      </c>
      <c r="AV3" s="601" t="s">
        <v>707</v>
      </c>
      <c r="AW3" s="565" t="s">
        <v>704</v>
      </c>
      <c r="AX3" s="565" t="s">
        <v>705</v>
      </c>
      <c r="AY3" s="565" t="s">
        <v>671</v>
      </c>
      <c r="AZ3" s="314" t="s">
        <v>477</v>
      </c>
      <c r="BA3" s="548" t="s">
        <v>576</v>
      </c>
      <c r="BB3" s="328" t="s">
        <v>657</v>
      </c>
      <c r="BC3" s="553" t="s">
        <v>653</v>
      </c>
      <c r="BD3" s="314" t="s">
        <v>577</v>
      </c>
      <c r="BE3" s="314" t="s">
        <v>654</v>
      </c>
      <c r="BF3" s="314"/>
      <c r="BG3" s="303" t="s">
        <v>656</v>
      </c>
      <c r="BH3" s="303" t="s">
        <v>658</v>
      </c>
    </row>
    <row r="4" spans="1:60" s="14" customFormat="1" ht="21" customHeight="1" outlineLevel="1" x14ac:dyDescent="0.25">
      <c r="A4" s="5" t="s">
        <v>7</v>
      </c>
      <c r="B4" s="194" t="s">
        <v>100</v>
      </c>
      <c r="C4" s="137"/>
      <c r="D4" s="335">
        <v>259214.6</v>
      </c>
      <c r="E4" s="335">
        <v>259214.6</v>
      </c>
      <c r="F4" s="335">
        <f>3398.4-613+2430.9+2103-101.6+33.4</f>
        <v>7251.0999999999995</v>
      </c>
      <c r="G4" s="335">
        <v>20116.2</v>
      </c>
      <c r="H4" s="335">
        <f>6368.3-35.5+9110.8+1805.6+2+0.3</f>
        <v>17251.499999999996</v>
      </c>
      <c r="I4" s="335">
        <f>8163.5+184.7+58.5+8612.6+3383.9+1216.5+14.6</f>
        <v>21634.300000000003</v>
      </c>
      <c r="J4" s="335">
        <f>14095.6+3886.2+4.6+0.4+282.8+55.1+4.6+7.7-66.1+12.1+0.5</f>
        <v>18283.499999999996</v>
      </c>
      <c r="K4" s="335">
        <f>4488.7+32+16212.4+5063.7+563.3</f>
        <v>26360.1</v>
      </c>
      <c r="L4" s="335">
        <f>25442+661.7+1.3+276.7+80.7</f>
        <v>26462.400000000001</v>
      </c>
      <c r="M4" s="335">
        <v>22080.7</v>
      </c>
      <c r="N4" s="335">
        <v>22132.400000000001</v>
      </c>
      <c r="O4" s="335">
        <f>2010.5+1+0.2+23.2+12.4+0.1+19965.4-20+280.1</f>
        <v>22272.9</v>
      </c>
      <c r="P4" s="335">
        <f>3414.9+13+14515.9-7.6+492.5+1903+0.3+7.6</f>
        <v>20339.599999999999</v>
      </c>
      <c r="Q4" s="335">
        <f>37.5+0.4+1703.8+72.8+18.3+977+13.9+85.2+927.1+0.1+1.7+7.5+130+9.9+30.3+11+30+0.2+14.7+18.6+1.7+14.8+38.1+9.3+3.1+8.2+9.8+708.3+6283.2+14.3+6614.3+14.1-5.1+2015.7+2.3+9804+10+3065.7+4.6+4660+7.2+50.7+7317.4+0.7+9.4</f>
        <v>44751.799999999988</v>
      </c>
      <c r="R4" s="586">
        <f t="shared" ref="R4:R13" si="0">SUM(F4:Q4)</f>
        <v>268936.5</v>
      </c>
      <c r="S4" s="335">
        <f>F4+G4</f>
        <v>27367.3</v>
      </c>
      <c r="T4" s="335">
        <v>293449.2</v>
      </c>
      <c r="U4" s="335">
        <f>T4</f>
        <v>293449.2</v>
      </c>
      <c r="V4" s="96">
        <f>X4+Y4+Z4+AA4+AB4+AC4+AD4+AE4+AF4+AG4+AH4+AI4</f>
        <v>293449.2</v>
      </c>
      <c r="W4" s="96">
        <f>X4+Y4+Z4</f>
        <v>43845</v>
      </c>
      <c r="X4" s="96">
        <v>7110</v>
      </c>
      <c r="Y4" s="96">
        <v>19535</v>
      </c>
      <c r="Z4" s="96">
        <v>17200</v>
      </c>
      <c r="AA4" s="96">
        <v>20900</v>
      </c>
      <c r="AB4" s="96">
        <v>18090</v>
      </c>
      <c r="AC4" s="96">
        <v>26300</v>
      </c>
      <c r="AD4" s="96">
        <v>26377.4</v>
      </c>
      <c r="AE4" s="96">
        <v>22100</v>
      </c>
      <c r="AF4" s="96">
        <v>22100</v>
      </c>
      <c r="AG4" s="96">
        <v>22100</v>
      </c>
      <c r="AH4" s="96">
        <v>22100</v>
      </c>
      <c r="AI4" s="96">
        <v>69536.800000000003</v>
      </c>
      <c r="AJ4" s="571">
        <f>6503.4+292.7+1.6+0.5</f>
        <v>6798.2</v>
      </c>
      <c r="AK4" s="571">
        <f>12517.5+3868</f>
        <v>16385.5</v>
      </c>
      <c r="AL4" s="571"/>
      <c r="AM4" s="571"/>
      <c r="AN4" s="571"/>
      <c r="AO4" s="571"/>
      <c r="AP4" s="571"/>
      <c r="AQ4" s="571"/>
      <c r="AR4" s="571"/>
      <c r="AS4" s="571"/>
      <c r="AT4" s="571"/>
      <c r="AU4" s="571"/>
      <c r="AV4" s="602">
        <f>AU4+AT4+AS4+AR4+AQ4+AP4+AO4+AN4+AM4+AL4+AK4+AJ4</f>
        <v>23183.7</v>
      </c>
      <c r="AW4" s="335">
        <f>AK4-Y4</f>
        <v>-3149.5</v>
      </c>
      <c r="AX4" s="335">
        <f>AV4-Y4-X4</f>
        <v>-3461.2999999999993</v>
      </c>
      <c r="AY4" s="335">
        <f>AV4-W4</f>
        <v>-20661.3</v>
      </c>
      <c r="AZ4" s="170"/>
      <c r="BA4" s="102"/>
      <c r="BB4" s="186"/>
      <c r="BC4" s="266"/>
      <c r="BD4" s="186"/>
      <c r="BE4" s="186"/>
      <c r="BF4" s="186"/>
      <c r="BG4" s="549"/>
      <c r="BH4" s="550"/>
    </row>
    <row r="5" spans="1:60" s="14" customFormat="1" ht="22.5" outlineLevel="1" x14ac:dyDescent="0.25">
      <c r="A5" s="5" t="s">
        <v>8</v>
      </c>
      <c r="B5" s="194" t="s">
        <v>101</v>
      </c>
      <c r="C5" s="137"/>
      <c r="D5" s="335">
        <v>22060.400000000001</v>
      </c>
      <c r="E5" s="335">
        <v>22060.400000000001</v>
      </c>
      <c r="F5" s="335">
        <f>5.8+0.7+839+2.4+1020.3-51.7+47.9+3-0.1</f>
        <v>1867.3</v>
      </c>
      <c r="G5" s="335">
        <v>354.3</v>
      </c>
      <c r="H5" s="335">
        <f>31.2+2.7+26.3-40.7+1441.4+777.9+3.2+820.3+16.4</f>
        <v>3078.7000000000003</v>
      </c>
      <c r="I5" s="335">
        <f>13.8+11.2+883.4+4.6+940.2+34.7+0.6+0.6-1.2</f>
        <v>1887.8999999999999</v>
      </c>
      <c r="J5" s="335">
        <f>887.3+4.9+899.5-67.4+0.5+0.7</f>
        <v>1725.4999999999998</v>
      </c>
      <c r="K5" s="335">
        <f>22+14.4</f>
        <v>36.4</v>
      </c>
      <c r="L5" s="335">
        <f>3566.3+55.2-0.1+33.4-6.4</f>
        <v>3648.4</v>
      </c>
      <c r="M5" s="335">
        <v>1892.1</v>
      </c>
      <c r="N5" s="335">
        <v>1808.7</v>
      </c>
      <c r="O5" s="335">
        <f>53+881.4+4.7+850.5+13.4+0.2+0.1+0.2</f>
        <v>1803.5</v>
      </c>
      <c r="P5" s="335">
        <f>32.1+0.4+43.5-68.3+912.1+5.5+960.2+12.4</f>
        <v>1897.9</v>
      </c>
      <c r="Q5" s="335">
        <f>76.8+817.7+4.1+871.5+4.9+2.8+0.7</f>
        <v>1778.5</v>
      </c>
      <c r="R5" s="586">
        <f t="shared" si="0"/>
        <v>21779.200000000001</v>
      </c>
      <c r="S5" s="335">
        <f t="shared" ref="S5:S69" si="1">F5+G5</f>
        <v>2221.6</v>
      </c>
      <c r="T5" s="335">
        <v>24762.9</v>
      </c>
      <c r="U5" s="335">
        <f t="shared" ref="U5:U68" si="2">T5</f>
        <v>24762.9</v>
      </c>
      <c r="V5" s="96">
        <f t="shared" ref="V5:V30" si="3">X5+Y5+Z5+AA5+AB5+AC5+AD5+AE5+AF5+AG5+AH5+AI5</f>
        <v>24762.900000000005</v>
      </c>
      <c r="W5" s="96">
        <f t="shared" ref="W5:W6" si="4">X5+Y5+Z5</f>
        <v>5416.4</v>
      </c>
      <c r="X5" s="96">
        <v>1647</v>
      </c>
      <c r="Y5" s="96">
        <v>364.3</v>
      </c>
      <c r="Z5" s="96">
        <v>3405.1</v>
      </c>
      <c r="AA5" s="96">
        <v>2054</v>
      </c>
      <c r="AB5" s="96">
        <v>1981.2</v>
      </c>
      <c r="AC5" s="96">
        <v>2130.4</v>
      </c>
      <c r="AD5" s="96">
        <v>2023.2</v>
      </c>
      <c r="AE5" s="96">
        <v>2130.6999999999998</v>
      </c>
      <c r="AF5" s="96">
        <v>2173.9</v>
      </c>
      <c r="AG5" s="96">
        <v>2225.4</v>
      </c>
      <c r="AH5" s="96">
        <v>1119.7</v>
      </c>
      <c r="AI5" s="96">
        <v>3508</v>
      </c>
      <c r="AJ5" s="571">
        <f>1884.5+16.1-0.4+5.8-8.6+0.1</f>
        <v>1897.4999999999998</v>
      </c>
      <c r="AK5" s="571">
        <v>36</v>
      </c>
      <c r="AL5" s="571"/>
      <c r="AM5" s="571"/>
      <c r="AN5" s="571"/>
      <c r="AO5" s="571"/>
      <c r="AP5" s="571"/>
      <c r="AQ5" s="571"/>
      <c r="AR5" s="571"/>
      <c r="AS5" s="571"/>
      <c r="AT5" s="571"/>
      <c r="AU5" s="571"/>
      <c r="AV5" s="602">
        <f t="shared" ref="AV5:AV69" si="5">AU5+AT5+AS5+AR5+AQ5+AP5+AO5+AN5+AM5+AL5+AK5+AJ5</f>
        <v>1933.4999999999998</v>
      </c>
      <c r="AW5" s="335">
        <f t="shared" ref="AW5:AW30" si="6">AK5-Y5</f>
        <v>-328.3</v>
      </c>
      <c r="AX5" s="335">
        <f t="shared" ref="AX5:AX30" si="7">AV5-Y5-X5</f>
        <v>-77.800000000000182</v>
      </c>
      <c r="AY5" s="335">
        <f t="shared" ref="AY5:AY30" si="8">AV5-W5</f>
        <v>-3482.8999999999996</v>
      </c>
      <c r="AZ5" s="170"/>
      <c r="BA5" s="102"/>
      <c r="BB5" s="186"/>
      <c r="BC5" s="266"/>
      <c r="BD5" s="186"/>
      <c r="BE5" s="186"/>
      <c r="BF5" s="186"/>
      <c r="BG5" s="549"/>
      <c r="BH5" s="550"/>
    </row>
    <row r="6" spans="1:60" s="14" customFormat="1" ht="22.5" outlineLevel="2" x14ac:dyDescent="0.25">
      <c r="A6" s="5" t="s">
        <v>9</v>
      </c>
      <c r="B6" s="195" t="s">
        <v>346</v>
      </c>
      <c r="C6" s="137"/>
      <c r="D6" s="335">
        <v>18411.400000000001</v>
      </c>
      <c r="E6" s="335">
        <v>18411.400000000001</v>
      </c>
      <c r="F6" s="335">
        <f>52.2-90-17.6</f>
        <v>-55.4</v>
      </c>
      <c r="G6" s="335">
        <v>-43</v>
      </c>
      <c r="H6" s="335">
        <f>249.6+1036.3+162.8+23.9+21.6</f>
        <v>1494.1999999999998</v>
      </c>
      <c r="I6" s="335">
        <f>5582.5+1617.1+685.3+693+139.3+12+8.2</f>
        <v>8737.4000000000015</v>
      </c>
      <c r="J6" s="335">
        <f>2.7+448.1+2.9+1.4</f>
        <v>455.09999999999997</v>
      </c>
      <c r="K6" s="335">
        <f>360.8+3.6+873.3+72.6+4.4+0.3+113.6</f>
        <v>1428.6</v>
      </c>
      <c r="L6" s="335">
        <f>3447.6+30.5+35.6+3</f>
        <v>3516.7</v>
      </c>
      <c r="M6" s="335">
        <v>543.9</v>
      </c>
      <c r="N6" s="335">
        <v>281</v>
      </c>
      <c r="O6" s="335">
        <f>506.5+149.5+3900.2+75.8</f>
        <v>4632</v>
      </c>
      <c r="P6" s="335">
        <f>2.4+670.5+115.9+1.1+0.4</f>
        <v>790.3</v>
      </c>
      <c r="Q6" s="335">
        <f>12.2+0.9+1.8+3.7-0.4+43.8+3.2+1.2+0.7+7.2+10.7-0.4+6.1+14.2+3.5</f>
        <v>108.4</v>
      </c>
      <c r="R6" s="586">
        <f t="shared" si="0"/>
        <v>21889.200000000001</v>
      </c>
      <c r="S6" s="335">
        <f t="shared" si="1"/>
        <v>-98.4</v>
      </c>
      <c r="T6" s="335">
        <v>21189.3</v>
      </c>
      <c r="U6" s="335">
        <f t="shared" si="2"/>
        <v>21189.3</v>
      </c>
      <c r="V6" s="96">
        <f t="shared" si="3"/>
        <v>21189.3</v>
      </c>
      <c r="W6" s="96">
        <f t="shared" si="4"/>
        <v>1500</v>
      </c>
      <c r="X6" s="96"/>
      <c r="Y6" s="96"/>
      <c r="Z6" s="96">
        <v>1500</v>
      </c>
      <c r="AA6" s="96">
        <v>8000</v>
      </c>
      <c r="AB6" s="96">
        <v>500</v>
      </c>
      <c r="AC6" s="96">
        <v>1000</v>
      </c>
      <c r="AD6" s="96">
        <v>4000</v>
      </c>
      <c r="AE6" s="96">
        <v>500</v>
      </c>
      <c r="AF6" s="96">
        <v>300</v>
      </c>
      <c r="AG6" s="96">
        <v>5000</v>
      </c>
      <c r="AH6" s="96">
        <v>300</v>
      </c>
      <c r="AI6" s="96">
        <v>89.3</v>
      </c>
      <c r="AJ6" s="571">
        <v>81.099999999999994</v>
      </c>
      <c r="AK6" s="571">
        <v>189.3</v>
      </c>
      <c r="AL6" s="571"/>
      <c r="AM6" s="571"/>
      <c r="AN6" s="571"/>
      <c r="AO6" s="571"/>
      <c r="AP6" s="571"/>
      <c r="AQ6" s="571"/>
      <c r="AR6" s="571"/>
      <c r="AS6" s="571"/>
      <c r="AT6" s="571"/>
      <c r="AU6" s="571"/>
      <c r="AV6" s="602">
        <f t="shared" si="5"/>
        <v>270.39999999999998</v>
      </c>
      <c r="AW6" s="335">
        <f t="shared" si="6"/>
        <v>189.3</v>
      </c>
      <c r="AX6" s="335">
        <f t="shared" si="7"/>
        <v>270.39999999999998</v>
      </c>
      <c r="AY6" s="335">
        <f t="shared" si="8"/>
        <v>-1229.5999999999999</v>
      </c>
      <c r="AZ6" s="170"/>
      <c r="BA6" s="102"/>
      <c r="BB6" s="186"/>
      <c r="BC6" s="266"/>
      <c r="BD6" s="186"/>
      <c r="BE6" s="186"/>
      <c r="BF6" s="186"/>
      <c r="BG6" s="550"/>
      <c r="BH6" s="550"/>
    </row>
    <row r="7" spans="1:60" s="14" customFormat="1" ht="28.5" customHeight="1" outlineLevel="2" x14ac:dyDescent="0.25">
      <c r="A7" s="5" t="s">
        <v>13</v>
      </c>
      <c r="B7" s="194" t="s">
        <v>224</v>
      </c>
      <c r="C7" s="137"/>
      <c r="D7" s="335">
        <v>5218.5</v>
      </c>
      <c r="E7" s="335">
        <v>5218.5</v>
      </c>
      <c r="F7" s="335">
        <f>17.8+1909.4-56.1</f>
        <v>1871.1000000000001</v>
      </c>
      <c r="G7" s="335">
        <f>0.8-29.3+2.1</f>
        <v>-26.4</v>
      </c>
      <c r="H7" s="335">
        <v>-13.8</v>
      </c>
      <c r="I7" s="335">
        <v>939.4</v>
      </c>
      <c r="J7" s="335">
        <v>-31.1</v>
      </c>
      <c r="K7" s="335">
        <f>67.4+6.9</f>
        <v>74.300000000000011</v>
      </c>
      <c r="L7" s="335">
        <f>-12+0.1+6.8</f>
        <v>-5.1000000000000005</v>
      </c>
      <c r="M7" s="335">
        <v>70.2</v>
      </c>
      <c r="N7" s="335">
        <v>17.7</v>
      </c>
      <c r="O7" s="335">
        <v>53.9</v>
      </c>
      <c r="P7" s="335">
        <f>7.9-9.3</f>
        <v>-1.4000000000000004</v>
      </c>
      <c r="Q7" s="335">
        <f>-9.6-13+1613.1+89.8+42.4+19.5</f>
        <v>1742.2</v>
      </c>
      <c r="R7" s="586">
        <f t="shared" si="0"/>
        <v>4691</v>
      </c>
      <c r="S7" s="335">
        <f t="shared" si="1"/>
        <v>1844.7</v>
      </c>
      <c r="T7" s="335">
        <v>475.1</v>
      </c>
      <c r="U7" s="335">
        <f t="shared" si="2"/>
        <v>475.1</v>
      </c>
      <c r="V7" s="96">
        <f>X7+Y7+Z7+AA7+AB7+AC7+AD7+AE7+AF7+AG7+AH7+AI7</f>
        <v>475.1</v>
      </c>
      <c r="W7" s="96">
        <f>X7+Y7+Z7</f>
        <v>80</v>
      </c>
      <c r="X7" s="96">
        <v>30</v>
      </c>
      <c r="Y7" s="96">
        <v>50</v>
      </c>
      <c r="Z7" s="96"/>
      <c r="AA7" s="96">
        <v>150</v>
      </c>
      <c r="AB7" s="96"/>
      <c r="AC7" s="96"/>
      <c r="AD7" s="96"/>
      <c r="AE7" s="96">
        <v>100</v>
      </c>
      <c r="AF7" s="96">
        <v>20</v>
      </c>
      <c r="AG7" s="96">
        <v>75.099999999999994</v>
      </c>
      <c r="AH7" s="96">
        <v>50</v>
      </c>
      <c r="AI7" s="161"/>
      <c r="AJ7" s="571">
        <f>-298.3+10.7</f>
        <v>-287.60000000000002</v>
      </c>
      <c r="AK7" s="571">
        <v>-1</v>
      </c>
      <c r="AL7" s="571"/>
      <c r="AM7" s="571"/>
      <c r="AN7" s="571"/>
      <c r="AO7" s="571"/>
      <c r="AP7" s="571"/>
      <c r="AQ7" s="571"/>
      <c r="AR7" s="571"/>
      <c r="AS7" s="571"/>
      <c r="AT7" s="571"/>
      <c r="AU7" s="571"/>
      <c r="AV7" s="602">
        <f t="shared" si="5"/>
        <v>-288.60000000000002</v>
      </c>
      <c r="AW7" s="335">
        <f t="shared" si="6"/>
        <v>-51</v>
      </c>
      <c r="AX7" s="335">
        <f t="shared" si="7"/>
        <v>-368.6</v>
      </c>
      <c r="AY7" s="335">
        <f t="shared" si="8"/>
        <v>-368.6</v>
      </c>
      <c r="AZ7" s="170"/>
      <c r="BA7" s="102"/>
      <c r="BB7" s="186"/>
      <c r="BC7" s="266"/>
      <c r="BD7" s="186"/>
      <c r="BE7" s="186"/>
      <c r="BF7" s="186"/>
      <c r="BG7" s="550"/>
      <c r="BH7" s="550"/>
    </row>
    <row r="8" spans="1:60" s="14" customFormat="1" ht="22.5" outlineLevel="2" x14ac:dyDescent="0.25">
      <c r="A8" s="5" t="s">
        <v>10</v>
      </c>
      <c r="B8" s="194" t="s">
        <v>103</v>
      </c>
      <c r="C8" s="137"/>
      <c r="D8" s="335">
        <v>0</v>
      </c>
      <c r="E8" s="335">
        <v>0</v>
      </c>
      <c r="F8" s="335"/>
      <c r="G8" s="335">
        <v>9.9</v>
      </c>
      <c r="H8" s="335">
        <v>0.1</v>
      </c>
      <c r="I8" s="335">
        <v>3.1</v>
      </c>
      <c r="J8" s="335">
        <v>0.3</v>
      </c>
      <c r="K8" s="335">
        <f>2.2+0.5</f>
        <v>2.7</v>
      </c>
      <c r="L8" s="335">
        <v>3.7</v>
      </c>
      <c r="M8" s="335">
        <v>3.2</v>
      </c>
      <c r="N8" s="335">
        <v>0.4</v>
      </c>
      <c r="O8" s="335">
        <f>1.3+0.6</f>
        <v>1.9</v>
      </c>
      <c r="P8" s="335">
        <v>0.3</v>
      </c>
      <c r="Q8" s="335">
        <f>3.4+2.2</f>
        <v>5.6</v>
      </c>
      <c r="R8" s="586">
        <f>SUM(F8:Q8)</f>
        <v>31.199999999999996</v>
      </c>
      <c r="S8" s="335">
        <f>F8+G8</f>
        <v>9.9</v>
      </c>
      <c r="T8" s="335">
        <v>0</v>
      </c>
      <c r="U8" s="335">
        <f>T8</f>
        <v>0</v>
      </c>
      <c r="V8" s="96">
        <f>X8+Y8+Z8+AA8+AB8+AC8+AD8+AE8+AF8+AG8+AH8+AI8</f>
        <v>0</v>
      </c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5"/>
      <c r="AJ8" s="571"/>
      <c r="AK8" s="571">
        <v>1.7</v>
      </c>
      <c r="AL8" s="566"/>
      <c r="AM8" s="566"/>
      <c r="AN8" s="566"/>
      <c r="AO8" s="566"/>
      <c r="AP8" s="566"/>
      <c r="AQ8" s="566"/>
      <c r="AR8" s="566"/>
      <c r="AS8" s="566"/>
      <c r="AT8" s="566"/>
      <c r="AU8" s="566"/>
      <c r="AV8" s="602">
        <f>AU8+AT8+AS8+AR8+AQ8+AP8+AO8+AN8+AM8+AL8+AK8+AJ8</f>
        <v>1.7</v>
      </c>
      <c r="AW8" s="335">
        <f>AK8-Y8</f>
        <v>1.7</v>
      </c>
      <c r="AX8" s="335">
        <f>AV8-Y8-X8</f>
        <v>1.7</v>
      </c>
      <c r="AY8" s="335">
        <f>AV8-W8</f>
        <v>1.7</v>
      </c>
      <c r="AZ8" s="170"/>
      <c r="BA8" s="102"/>
      <c r="BB8" s="186"/>
      <c r="BC8" s="266"/>
      <c r="BD8" s="186"/>
      <c r="BE8" s="186"/>
      <c r="BF8" s="186"/>
      <c r="BG8" s="549"/>
      <c r="BH8" s="550"/>
    </row>
    <row r="9" spans="1:60" s="14" customFormat="1" ht="22.5" outlineLevel="2" x14ac:dyDescent="0.25">
      <c r="A9" s="5" t="s">
        <v>11</v>
      </c>
      <c r="B9" s="194" t="s">
        <v>12</v>
      </c>
      <c r="C9" s="137"/>
      <c r="D9" s="335">
        <v>1437</v>
      </c>
      <c r="E9" s="335">
        <v>1437</v>
      </c>
      <c r="F9" s="335"/>
      <c r="G9" s="335"/>
      <c r="H9" s="335">
        <f>57+561.8</f>
        <v>618.79999999999995</v>
      </c>
      <c r="I9" s="335">
        <v>10.199999999999999</v>
      </c>
      <c r="J9" s="335">
        <v>-8.6999999999999993</v>
      </c>
      <c r="K9" s="335">
        <v>0.1</v>
      </c>
      <c r="L9" s="335">
        <v>109.1</v>
      </c>
      <c r="M9" s="335"/>
      <c r="N9" s="335"/>
      <c r="O9" s="335"/>
      <c r="P9" s="335"/>
      <c r="Q9" s="335"/>
      <c r="R9" s="586">
        <f t="shared" si="0"/>
        <v>729.5</v>
      </c>
      <c r="S9" s="335">
        <f t="shared" si="1"/>
        <v>0</v>
      </c>
      <c r="T9" s="335">
        <v>1829</v>
      </c>
      <c r="U9" s="335">
        <f t="shared" si="2"/>
        <v>1829</v>
      </c>
      <c r="V9" s="96">
        <f t="shared" si="3"/>
        <v>1829</v>
      </c>
      <c r="W9" s="96">
        <f t="shared" ref="W9:W13" si="9">X9+Y9+Z9</f>
        <v>1400</v>
      </c>
      <c r="X9" s="96"/>
      <c r="Y9" s="96"/>
      <c r="Z9" s="96">
        <v>1400</v>
      </c>
      <c r="AA9" s="96"/>
      <c r="AB9" s="96"/>
      <c r="AC9" s="96"/>
      <c r="AD9" s="96">
        <v>429</v>
      </c>
      <c r="AE9" s="96"/>
      <c r="AF9" s="96"/>
      <c r="AG9" s="96"/>
      <c r="AH9" s="96"/>
      <c r="AI9" s="96"/>
      <c r="AJ9" s="571"/>
      <c r="AK9" s="571"/>
      <c r="AL9" s="571"/>
      <c r="AM9" s="571"/>
      <c r="AN9" s="571"/>
      <c r="AO9" s="571"/>
      <c r="AP9" s="571"/>
      <c r="AQ9" s="571"/>
      <c r="AR9" s="571"/>
      <c r="AS9" s="571"/>
      <c r="AT9" s="571"/>
      <c r="AU9" s="571"/>
      <c r="AV9" s="602">
        <f t="shared" si="5"/>
        <v>0</v>
      </c>
      <c r="AW9" s="335">
        <f t="shared" si="6"/>
        <v>0</v>
      </c>
      <c r="AX9" s="335">
        <f t="shared" si="7"/>
        <v>0</v>
      </c>
      <c r="AY9" s="335">
        <f t="shared" si="8"/>
        <v>-1400</v>
      </c>
      <c r="AZ9" s="170"/>
      <c r="BA9" s="102"/>
      <c r="BB9" s="186"/>
      <c r="BC9" s="266"/>
      <c r="BD9" s="186"/>
      <c r="BE9" s="186"/>
      <c r="BF9" s="186"/>
      <c r="BG9" s="549"/>
      <c r="BH9" s="550"/>
    </row>
    <row r="10" spans="1:60" s="14" customFormat="1" ht="22.5" outlineLevel="2" x14ac:dyDescent="0.25">
      <c r="A10" s="5" t="s">
        <v>14</v>
      </c>
      <c r="B10" s="194" t="s">
        <v>15</v>
      </c>
      <c r="C10" s="137"/>
      <c r="D10" s="335">
        <v>9663.7999999999993</v>
      </c>
      <c r="E10" s="335">
        <v>9663.7999999999993</v>
      </c>
      <c r="F10" s="335">
        <f>0.8+401.2+18.8+3+43+5.8</f>
        <v>472.6</v>
      </c>
      <c r="G10" s="335">
        <v>121.9</v>
      </c>
      <c r="H10" s="335">
        <f>1.1+171.3+138</f>
        <v>310.39999999999998</v>
      </c>
      <c r="I10" s="335">
        <f>5.8+58.9</f>
        <v>64.7</v>
      </c>
      <c r="J10" s="335">
        <f>0.3+30.6+0.2</f>
        <v>31.1</v>
      </c>
      <c r="K10" s="335">
        <f>1.3+12.9+4.8+1.5</f>
        <v>20.5</v>
      </c>
      <c r="L10" s="335">
        <v>19.2</v>
      </c>
      <c r="M10" s="335">
        <v>28.2</v>
      </c>
      <c r="N10" s="335">
        <v>1628.5</v>
      </c>
      <c r="O10" s="335">
        <f>1911-321.2+32+16.2</f>
        <v>1638</v>
      </c>
      <c r="P10" s="335">
        <f>380.3+2048.2+163.7+440.1</f>
        <v>3032.2999999999997</v>
      </c>
      <c r="Q10" s="335">
        <f>21.5+110+98.6+61.4+42.5+97.7+73.7+9.6+35.8+17.3+26.6+54.9+9.5+12.1+25.3+137.7+19.3+17.1+4.7+79.1-12.6+0.6-12.2</f>
        <v>930.19999999999982</v>
      </c>
      <c r="R10" s="586">
        <f t="shared" si="0"/>
        <v>8297.5999999999985</v>
      </c>
      <c r="S10" s="335">
        <f t="shared" si="1"/>
        <v>594.5</v>
      </c>
      <c r="T10" s="335">
        <v>8528</v>
      </c>
      <c r="U10" s="335">
        <f t="shared" si="2"/>
        <v>8528</v>
      </c>
      <c r="V10" s="96">
        <f t="shared" si="3"/>
        <v>8528</v>
      </c>
      <c r="W10" s="96">
        <f t="shared" si="9"/>
        <v>700</v>
      </c>
      <c r="X10" s="96">
        <v>100</v>
      </c>
      <c r="Y10" s="96">
        <v>400</v>
      </c>
      <c r="Z10" s="96">
        <v>200</v>
      </c>
      <c r="AA10" s="96">
        <v>40</v>
      </c>
      <c r="AB10" s="96">
        <v>20</v>
      </c>
      <c r="AC10" s="96">
        <v>20</v>
      </c>
      <c r="AD10" s="96">
        <v>20</v>
      </c>
      <c r="AE10" s="96">
        <v>28</v>
      </c>
      <c r="AF10" s="96">
        <v>1500</v>
      </c>
      <c r="AG10" s="96">
        <v>1600</v>
      </c>
      <c r="AH10" s="96">
        <v>3000</v>
      </c>
      <c r="AI10" s="161">
        <v>1600</v>
      </c>
      <c r="AJ10" s="571">
        <f>1+103.8</f>
        <v>104.8</v>
      </c>
      <c r="AK10" s="571">
        <f>0.9+62.8</f>
        <v>63.699999999999996</v>
      </c>
      <c r="AL10" s="571"/>
      <c r="AM10" s="571"/>
      <c r="AN10" s="571"/>
      <c r="AO10" s="571"/>
      <c r="AP10" s="571"/>
      <c r="AQ10" s="571"/>
      <c r="AR10" s="571"/>
      <c r="AS10" s="571"/>
      <c r="AT10" s="571"/>
      <c r="AU10" s="571"/>
      <c r="AV10" s="602">
        <f t="shared" si="5"/>
        <v>168.5</v>
      </c>
      <c r="AW10" s="335">
        <f t="shared" si="6"/>
        <v>-336.3</v>
      </c>
      <c r="AX10" s="335">
        <f t="shared" si="7"/>
        <v>-331.5</v>
      </c>
      <c r="AY10" s="335">
        <f t="shared" si="8"/>
        <v>-531.5</v>
      </c>
      <c r="AZ10" s="170"/>
      <c r="BA10" s="102"/>
      <c r="BB10" s="186"/>
      <c r="BC10" s="266"/>
      <c r="BD10" s="186"/>
      <c r="BE10" s="186"/>
      <c r="BF10" s="186"/>
      <c r="BG10" s="550"/>
      <c r="BH10" s="550"/>
    </row>
    <row r="11" spans="1:60" s="14" customFormat="1" ht="22.5" outlineLevel="3" x14ac:dyDescent="0.25">
      <c r="A11" s="5" t="s">
        <v>16</v>
      </c>
      <c r="B11" s="194" t="s">
        <v>17</v>
      </c>
      <c r="C11" s="137"/>
      <c r="D11" s="335">
        <v>4804.8</v>
      </c>
      <c r="E11" s="335">
        <v>4804.8</v>
      </c>
      <c r="F11" s="336">
        <v>5.8</v>
      </c>
      <c r="G11" s="335">
        <v>1615.5</v>
      </c>
      <c r="H11" s="335">
        <v>241.4</v>
      </c>
      <c r="I11" s="335">
        <f>842.4+75.3+485.5+37.7</f>
        <v>1440.8999999999999</v>
      </c>
      <c r="J11" s="335">
        <f>2.7+599.5</f>
        <v>602.20000000000005</v>
      </c>
      <c r="K11" s="335">
        <v>126.3</v>
      </c>
      <c r="L11" s="335">
        <f>38.3+1403.4+2.3</f>
        <v>1444</v>
      </c>
      <c r="M11" s="335">
        <v>147.80000000000001</v>
      </c>
      <c r="N11" s="335">
        <v>0.9</v>
      </c>
      <c r="O11" s="335">
        <f>192.8+1226.6+67.9+3.1</f>
        <v>1490.3999999999999</v>
      </c>
      <c r="P11" s="335">
        <v>32.299999999999997</v>
      </c>
      <c r="Q11" s="335">
        <f>5.9+43+3.1+1.2+4+3.5</f>
        <v>60.7</v>
      </c>
      <c r="R11" s="586">
        <f t="shared" si="0"/>
        <v>7208.2</v>
      </c>
      <c r="S11" s="335">
        <f t="shared" si="1"/>
        <v>1621.3</v>
      </c>
      <c r="T11" s="335">
        <v>8452</v>
      </c>
      <c r="U11" s="335">
        <f t="shared" si="2"/>
        <v>8452</v>
      </c>
      <c r="V11" s="96">
        <f t="shared" si="3"/>
        <v>8452</v>
      </c>
      <c r="W11" s="96">
        <f t="shared" si="9"/>
        <v>1620</v>
      </c>
      <c r="X11" s="96"/>
      <c r="Y11" s="96">
        <v>1500</v>
      </c>
      <c r="Z11" s="96">
        <v>120</v>
      </c>
      <c r="AA11" s="96">
        <v>1500</v>
      </c>
      <c r="AB11" s="96">
        <v>120</v>
      </c>
      <c r="AC11" s="96"/>
      <c r="AD11" s="96">
        <v>1500</v>
      </c>
      <c r="AE11" s="96">
        <v>120</v>
      </c>
      <c r="AF11" s="96"/>
      <c r="AG11" s="96">
        <v>1500</v>
      </c>
      <c r="AH11" s="96">
        <v>120</v>
      </c>
      <c r="AI11" s="161">
        <v>1972</v>
      </c>
      <c r="AJ11" s="571">
        <v>-31.7</v>
      </c>
      <c r="AK11" s="571">
        <v>8.5</v>
      </c>
      <c r="AL11" s="571"/>
      <c r="AM11" s="571"/>
      <c r="AN11" s="571"/>
      <c r="AO11" s="571"/>
      <c r="AP11" s="571"/>
      <c r="AQ11" s="571"/>
      <c r="AR11" s="571"/>
      <c r="AS11" s="571"/>
      <c r="AT11" s="571"/>
      <c r="AU11" s="571"/>
      <c r="AV11" s="602">
        <f t="shared" si="5"/>
        <v>-23.2</v>
      </c>
      <c r="AW11" s="335">
        <f t="shared" si="6"/>
        <v>-1491.5</v>
      </c>
      <c r="AX11" s="335">
        <f t="shared" si="7"/>
        <v>-1523.2</v>
      </c>
      <c r="AY11" s="335">
        <f t="shared" si="8"/>
        <v>-1643.2</v>
      </c>
      <c r="AZ11" s="170"/>
      <c r="BA11" s="102"/>
      <c r="BB11" s="186"/>
      <c r="BC11" s="266"/>
      <c r="BD11" s="186"/>
      <c r="BE11" s="186"/>
      <c r="BF11" s="186"/>
      <c r="BG11" s="550"/>
      <c r="BH11" s="550"/>
    </row>
    <row r="12" spans="1:60" s="14" customFormat="1" ht="22.5" outlineLevel="3" x14ac:dyDescent="0.25">
      <c r="A12" s="5" t="s">
        <v>18</v>
      </c>
      <c r="B12" s="194" t="s">
        <v>19</v>
      </c>
      <c r="C12" s="137"/>
      <c r="D12" s="335">
        <v>13580.6</v>
      </c>
      <c r="E12" s="335">
        <v>13580.6</v>
      </c>
      <c r="F12" s="335">
        <f>11.2+175.5+20.3+5.2+25.4+10.8</f>
        <v>248.4</v>
      </c>
      <c r="G12" s="335">
        <v>269.8</v>
      </c>
      <c r="H12" s="335">
        <f>26.1+131.4+2</f>
        <v>159.5</v>
      </c>
      <c r="I12" s="335">
        <f>5.5+84.3+1.6+0.5+6.2</f>
        <v>98.1</v>
      </c>
      <c r="J12" s="335">
        <f>4.8+51.6+3.1+3.4</f>
        <v>62.9</v>
      </c>
      <c r="K12" s="335">
        <f>3.6+66.6+14.1+12.3</f>
        <v>96.59999999999998</v>
      </c>
      <c r="L12" s="335">
        <f>83.4-2.2</f>
        <v>81.2</v>
      </c>
      <c r="M12" s="335">
        <v>140.69999999999999</v>
      </c>
      <c r="N12" s="335">
        <v>1838.1</v>
      </c>
      <c r="O12" s="335">
        <f>3511.3-28.9+84.2+240.8</f>
        <v>3807.4</v>
      </c>
      <c r="P12" s="335">
        <f>3814.9+474.3+195.7+258.7</f>
        <v>4743.5999999999995</v>
      </c>
      <c r="Q12" s="335">
        <f>51.8+258.3+207.3+96.6+111.4+193.9+58+21.4+103.4+36+103.2+51.3+72.5+30+28.5+50.5+10.7+31.4+18.4+120.7+14.9+13.1+22.2</f>
        <v>1705.5000000000005</v>
      </c>
      <c r="R12" s="586">
        <f t="shared" si="0"/>
        <v>13251.8</v>
      </c>
      <c r="S12" s="335">
        <f t="shared" si="1"/>
        <v>518.20000000000005</v>
      </c>
      <c r="T12" s="335">
        <v>13720.4</v>
      </c>
      <c r="U12" s="335">
        <f t="shared" si="2"/>
        <v>13720.4</v>
      </c>
      <c r="V12" s="96">
        <f t="shared" si="3"/>
        <v>13720.4</v>
      </c>
      <c r="W12" s="96">
        <f t="shared" si="9"/>
        <v>350</v>
      </c>
      <c r="X12" s="96"/>
      <c r="Y12" s="96">
        <v>100</v>
      </c>
      <c r="Z12" s="96">
        <v>250</v>
      </c>
      <c r="AA12" s="96">
        <v>100</v>
      </c>
      <c r="AB12" s="96">
        <v>100</v>
      </c>
      <c r="AC12" s="96">
        <v>50</v>
      </c>
      <c r="AD12" s="96">
        <v>100</v>
      </c>
      <c r="AE12" s="96">
        <v>50</v>
      </c>
      <c r="AF12" s="96">
        <v>1500</v>
      </c>
      <c r="AG12" s="96">
        <v>1600</v>
      </c>
      <c r="AH12" s="96">
        <v>4105</v>
      </c>
      <c r="AI12" s="161">
        <v>5765.4</v>
      </c>
      <c r="AJ12" s="571">
        <f>1.4+243.2</f>
        <v>244.6</v>
      </c>
      <c r="AK12" s="571">
        <f>4.4+155.2</f>
        <v>159.6</v>
      </c>
      <c r="AL12" s="571"/>
      <c r="AM12" s="571"/>
      <c r="AN12" s="571"/>
      <c r="AO12" s="571"/>
      <c r="AP12" s="571"/>
      <c r="AQ12" s="571"/>
      <c r="AR12" s="571"/>
      <c r="AS12" s="571"/>
      <c r="AT12" s="571"/>
      <c r="AU12" s="571"/>
      <c r="AV12" s="602">
        <f t="shared" si="5"/>
        <v>404.2</v>
      </c>
      <c r="AW12" s="335">
        <f t="shared" si="6"/>
        <v>59.599999999999994</v>
      </c>
      <c r="AX12" s="335">
        <f t="shared" si="7"/>
        <v>304.2</v>
      </c>
      <c r="AY12" s="335">
        <f t="shared" si="8"/>
        <v>54.199999999999989</v>
      </c>
      <c r="AZ12" s="170"/>
      <c r="BA12" s="102"/>
      <c r="BB12" s="186"/>
      <c r="BC12" s="266"/>
      <c r="BD12" s="186"/>
      <c r="BE12" s="186"/>
      <c r="BF12" s="186"/>
      <c r="BG12" s="551"/>
      <c r="BH12" s="550"/>
    </row>
    <row r="13" spans="1:60" s="14" customFormat="1" ht="22.5" outlineLevel="1" x14ac:dyDescent="0.25">
      <c r="A13" s="5" t="s">
        <v>20</v>
      </c>
      <c r="B13" s="195" t="s">
        <v>105</v>
      </c>
      <c r="C13" s="137"/>
      <c r="D13" s="335">
        <v>9200</v>
      </c>
      <c r="E13" s="335">
        <v>9200</v>
      </c>
      <c r="F13" s="335">
        <f>5.5+149.1+42.7+0.2+32.7+33+0.4+6</f>
        <v>269.59999999999997</v>
      </c>
      <c r="G13" s="335">
        <v>346.9</v>
      </c>
      <c r="H13" s="335">
        <f>139.5+417.1+12+0.6</f>
        <v>569.20000000000005</v>
      </c>
      <c r="I13" s="335">
        <f>14.1+380.2+25+10.2</f>
        <v>429.5</v>
      </c>
      <c r="J13" s="335">
        <f>29.6+361.3+27.3+12.2+2.6</f>
        <v>433.00000000000006</v>
      </c>
      <c r="K13" s="335">
        <f>47.8+218.7+28.8+0.4+2.9+8.9+0.1</f>
        <v>307.59999999999997</v>
      </c>
      <c r="L13" s="335">
        <f>66+442.1+10.9</f>
        <v>519</v>
      </c>
      <c r="M13" s="335">
        <v>330.2</v>
      </c>
      <c r="N13" s="335">
        <v>515.1</v>
      </c>
      <c r="O13" s="335">
        <f>23+469.5+10+14.3</f>
        <v>516.79999999999995</v>
      </c>
      <c r="P13" s="335">
        <f>7.4+0.1+345.9+22+0.2+7.7</f>
        <v>383.29999999999995</v>
      </c>
      <c r="Q13" s="335">
        <f>12.1+14+2.1+10+6+21.1+8+63.4+0.4+14.1+32.1+0.6+5.5+59.1+15+0.2+5.9+0.1+27.7+25.5+26+26.8+39.9+19.7+60.2-8.1+11.5+0.7</f>
        <v>499.59999999999991</v>
      </c>
      <c r="R13" s="586">
        <f t="shared" si="0"/>
        <v>5119.7999999999993</v>
      </c>
      <c r="S13" s="335">
        <f t="shared" si="1"/>
        <v>616.5</v>
      </c>
      <c r="T13" s="335">
        <v>5312.3</v>
      </c>
      <c r="U13" s="335">
        <f t="shared" si="2"/>
        <v>5312.3</v>
      </c>
      <c r="V13" s="96">
        <f t="shared" si="3"/>
        <v>5312.3</v>
      </c>
      <c r="W13" s="96">
        <f t="shared" si="9"/>
        <v>1151.7</v>
      </c>
      <c r="X13" s="96">
        <v>292.2</v>
      </c>
      <c r="Y13" s="96">
        <v>382</v>
      </c>
      <c r="Z13" s="96">
        <v>477.5</v>
      </c>
      <c r="AA13" s="96">
        <v>462.7</v>
      </c>
      <c r="AB13" s="96">
        <v>401.6</v>
      </c>
      <c r="AC13" s="96">
        <v>421.8</v>
      </c>
      <c r="AD13" s="96">
        <v>439.9</v>
      </c>
      <c r="AE13" s="96">
        <v>468</v>
      </c>
      <c r="AF13" s="96">
        <v>469</v>
      </c>
      <c r="AG13" s="96">
        <v>494.6</v>
      </c>
      <c r="AH13" s="96">
        <v>489.3</v>
      </c>
      <c r="AI13" s="96">
        <v>513.70000000000005</v>
      </c>
      <c r="AJ13" s="571">
        <f>42.1+291</f>
        <v>333.1</v>
      </c>
      <c r="AK13" s="571">
        <f>6.2+578.5</f>
        <v>584.70000000000005</v>
      </c>
      <c r="AL13" s="571"/>
      <c r="AM13" s="571"/>
      <c r="AN13" s="571"/>
      <c r="AO13" s="571"/>
      <c r="AP13" s="571"/>
      <c r="AQ13" s="571"/>
      <c r="AR13" s="571"/>
      <c r="AS13" s="571"/>
      <c r="AT13" s="571"/>
      <c r="AU13" s="571"/>
      <c r="AV13" s="602">
        <f t="shared" si="5"/>
        <v>917.80000000000007</v>
      </c>
      <c r="AW13" s="335">
        <f t="shared" si="6"/>
        <v>202.70000000000005</v>
      </c>
      <c r="AX13" s="335">
        <f t="shared" si="7"/>
        <v>243.60000000000008</v>
      </c>
      <c r="AY13" s="335">
        <f t="shared" si="8"/>
        <v>-233.89999999999998</v>
      </c>
      <c r="AZ13" s="170"/>
      <c r="BA13" s="102"/>
      <c r="BB13" s="186"/>
      <c r="BC13" s="266"/>
      <c r="BD13" s="186"/>
      <c r="BE13" s="186"/>
      <c r="BF13" s="186"/>
      <c r="BG13" s="551"/>
      <c r="BH13" s="550"/>
    </row>
    <row r="14" spans="1:60" ht="12.75" hidden="1" customHeight="1" x14ac:dyDescent="0.25"/>
    <row r="15" spans="1:60" s="14" customFormat="1" ht="22.5" customHeight="1" outlineLevel="1" x14ac:dyDescent="0.25">
      <c r="A15" s="5"/>
      <c r="B15" s="568" t="s">
        <v>145</v>
      </c>
      <c r="C15" s="569"/>
      <c r="D15" s="570">
        <f t="shared" ref="D15:AY15" si="10">SUM(D4:D13)</f>
        <v>343591.1</v>
      </c>
      <c r="E15" s="570">
        <f t="shared" si="10"/>
        <v>343591.1</v>
      </c>
      <c r="F15" s="570">
        <f t="shared" si="10"/>
        <v>11930.5</v>
      </c>
      <c r="G15" s="570">
        <f t="shared" si="10"/>
        <v>22765.100000000002</v>
      </c>
      <c r="H15" s="570">
        <f t="shared" si="10"/>
        <v>23710</v>
      </c>
      <c r="I15" s="570">
        <f t="shared" si="10"/>
        <v>35245.5</v>
      </c>
      <c r="J15" s="570">
        <f t="shared" si="10"/>
        <v>21553.799999999996</v>
      </c>
      <c r="K15" s="570">
        <f t="shared" si="10"/>
        <v>28453.199999999993</v>
      </c>
      <c r="L15" s="570">
        <f t="shared" si="10"/>
        <v>35798.599999999991</v>
      </c>
      <c r="M15" s="570">
        <f t="shared" si="10"/>
        <v>25237.000000000004</v>
      </c>
      <c r="N15" s="570">
        <f t="shared" si="10"/>
        <v>28222.800000000003</v>
      </c>
      <c r="O15" s="570">
        <f t="shared" si="10"/>
        <v>36216.80000000001</v>
      </c>
      <c r="P15" s="570">
        <f t="shared" si="10"/>
        <v>31218.199999999993</v>
      </c>
      <c r="Q15" s="570">
        <f t="shared" si="10"/>
        <v>51582.499999999978</v>
      </c>
      <c r="R15" s="570">
        <f t="shared" si="10"/>
        <v>351934</v>
      </c>
      <c r="S15" s="586">
        <f t="shared" si="10"/>
        <v>34695.599999999999</v>
      </c>
      <c r="T15" s="586">
        <f t="shared" si="10"/>
        <v>377718.2</v>
      </c>
      <c r="U15" s="586">
        <f t="shared" si="10"/>
        <v>377718.2</v>
      </c>
      <c r="V15" s="586">
        <f t="shared" si="10"/>
        <v>377718.2</v>
      </c>
      <c r="W15" s="586">
        <f t="shared" si="10"/>
        <v>56063.1</v>
      </c>
      <c r="X15" s="586">
        <f t="shared" si="10"/>
        <v>9179.2000000000007</v>
      </c>
      <c r="Y15" s="586">
        <f t="shared" si="10"/>
        <v>22331.3</v>
      </c>
      <c r="Z15" s="586">
        <f t="shared" si="10"/>
        <v>24552.6</v>
      </c>
      <c r="AA15" s="586">
        <f t="shared" si="10"/>
        <v>33206.699999999997</v>
      </c>
      <c r="AB15" s="586">
        <f t="shared" si="10"/>
        <v>21212.799999999999</v>
      </c>
      <c r="AC15" s="586">
        <f t="shared" si="10"/>
        <v>29922.2</v>
      </c>
      <c r="AD15" s="586">
        <f t="shared" si="10"/>
        <v>34889.500000000007</v>
      </c>
      <c r="AE15" s="586">
        <f t="shared" si="10"/>
        <v>25496.7</v>
      </c>
      <c r="AF15" s="586">
        <f t="shared" si="10"/>
        <v>28062.9</v>
      </c>
      <c r="AG15" s="586">
        <f t="shared" si="10"/>
        <v>34595.1</v>
      </c>
      <c r="AH15" s="586">
        <f t="shared" si="10"/>
        <v>31284</v>
      </c>
      <c r="AI15" s="586">
        <f t="shared" si="10"/>
        <v>82985.2</v>
      </c>
      <c r="AJ15" s="586">
        <f t="shared" si="10"/>
        <v>9139.9999999999982</v>
      </c>
      <c r="AK15" s="586">
        <f t="shared" si="10"/>
        <v>17428</v>
      </c>
      <c r="AL15" s="586">
        <f t="shared" si="10"/>
        <v>0</v>
      </c>
      <c r="AM15" s="586">
        <f t="shared" si="10"/>
        <v>0</v>
      </c>
      <c r="AN15" s="586">
        <f t="shared" si="10"/>
        <v>0</v>
      </c>
      <c r="AO15" s="586">
        <f t="shared" si="10"/>
        <v>0</v>
      </c>
      <c r="AP15" s="586">
        <f t="shared" si="10"/>
        <v>0</v>
      </c>
      <c r="AQ15" s="586">
        <f t="shared" si="10"/>
        <v>0</v>
      </c>
      <c r="AR15" s="586">
        <f t="shared" si="10"/>
        <v>0</v>
      </c>
      <c r="AS15" s="586">
        <f t="shared" si="10"/>
        <v>0</v>
      </c>
      <c r="AT15" s="586">
        <f t="shared" si="10"/>
        <v>0</v>
      </c>
      <c r="AU15" s="586">
        <f t="shared" si="10"/>
        <v>0</v>
      </c>
      <c r="AV15" s="586">
        <f t="shared" si="10"/>
        <v>26568.000000000004</v>
      </c>
      <c r="AW15" s="586">
        <f t="shared" si="10"/>
        <v>-4903.3</v>
      </c>
      <c r="AX15" s="586">
        <f t="shared" si="10"/>
        <v>-4942.4999999999991</v>
      </c>
      <c r="AY15" s="586">
        <f t="shared" si="10"/>
        <v>-29495.099999999995</v>
      </c>
      <c r="AZ15" s="333"/>
      <c r="BA15" s="266"/>
      <c r="BB15" s="266"/>
      <c r="BC15" s="266"/>
      <c r="BD15" s="266"/>
      <c r="BE15" s="266"/>
      <c r="BF15" s="266"/>
      <c r="BG15" s="236"/>
      <c r="BH15" s="236"/>
    </row>
    <row r="16" spans="1:60" s="14" customFormat="1" ht="21" customHeight="1" outlineLevel="2" x14ac:dyDescent="0.25">
      <c r="A16" s="5" t="s">
        <v>21</v>
      </c>
      <c r="B16" s="196" t="s">
        <v>106</v>
      </c>
      <c r="C16" s="137"/>
      <c r="D16" s="335">
        <v>124</v>
      </c>
      <c r="E16" s="335">
        <v>131</v>
      </c>
      <c r="F16" s="350"/>
      <c r="G16" s="350"/>
      <c r="H16" s="351">
        <v>131</v>
      </c>
      <c r="I16" s="351"/>
      <c r="J16" s="351"/>
      <c r="K16" s="351"/>
      <c r="L16" s="350"/>
      <c r="M16" s="351"/>
      <c r="N16" s="350"/>
      <c r="O16" s="350"/>
      <c r="P16" s="351"/>
      <c r="Q16" s="350"/>
      <c r="R16" s="586">
        <f t="shared" ref="R16:R28" si="11">SUM(F16:Q16)</f>
        <v>131</v>
      </c>
      <c r="S16" s="335">
        <f t="shared" si="1"/>
        <v>0</v>
      </c>
      <c r="T16" s="335">
        <v>135</v>
      </c>
      <c r="U16" s="335">
        <f t="shared" si="2"/>
        <v>135</v>
      </c>
      <c r="V16" s="96">
        <f t="shared" si="3"/>
        <v>135</v>
      </c>
      <c r="W16" s="96">
        <f t="shared" ref="W16:W26" si="12">X16+Y16+Z16</f>
        <v>0</v>
      </c>
      <c r="X16" s="96"/>
      <c r="Y16" s="96"/>
      <c r="Z16" s="96"/>
      <c r="AA16" s="96">
        <v>135</v>
      </c>
      <c r="AB16" s="96"/>
      <c r="AC16" s="96"/>
      <c r="AD16" s="96"/>
      <c r="AE16" s="96"/>
      <c r="AF16" s="96">
        <f t="shared" ref="AF16" si="13">AG16+AH16+AI16</f>
        <v>0</v>
      </c>
      <c r="AG16" s="96"/>
      <c r="AH16" s="96"/>
      <c r="AI16" s="161"/>
      <c r="AJ16" s="571"/>
      <c r="AK16" s="571"/>
      <c r="AL16" s="566"/>
      <c r="AM16" s="566"/>
      <c r="AN16" s="566"/>
      <c r="AO16" s="566"/>
      <c r="AP16" s="566"/>
      <c r="AQ16" s="566"/>
      <c r="AR16" s="566"/>
      <c r="AS16" s="566"/>
      <c r="AT16" s="566"/>
      <c r="AU16" s="566"/>
      <c r="AV16" s="602">
        <f t="shared" si="5"/>
        <v>0</v>
      </c>
      <c r="AW16" s="335">
        <f t="shared" si="6"/>
        <v>0</v>
      </c>
      <c r="AX16" s="335">
        <f t="shared" si="7"/>
        <v>0</v>
      </c>
      <c r="AY16" s="335">
        <f t="shared" si="8"/>
        <v>0</v>
      </c>
      <c r="AZ16" s="170"/>
      <c r="BA16" s="102"/>
      <c r="BB16" s="186"/>
      <c r="BC16" s="266"/>
      <c r="BD16" s="186"/>
      <c r="BE16" s="186"/>
      <c r="BF16" s="186"/>
      <c r="BG16" s="551"/>
      <c r="BH16" s="550"/>
    </row>
    <row r="17" spans="1:70" s="14" customFormat="1" ht="24" customHeight="1" outlineLevel="3" x14ac:dyDescent="0.25">
      <c r="A17" s="5" t="s">
        <v>22</v>
      </c>
      <c r="B17" s="195" t="s">
        <v>347</v>
      </c>
      <c r="C17" s="137"/>
      <c r="D17" s="335">
        <v>4283.3</v>
      </c>
      <c r="E17" s="335">
        <v>4317</v>
      </c>
      <c r="F17" s="351">
        <f>7.5+181.4+7.4</f>
        <v>196.3</v>
      </c>
      <c r="G17" s="351">
        <v>405.2</v>
      </c>
      <c r="H17" s="351">
        <f>2.9+512.4</f>
        <v>515.29999999999995</v>
      </c>
      <c r="I17" s="351">
        <f>361.1-2.1+1.8</f>
        <v>360.8</v>
      </c>
      <c r="J17" s="351">
        <v>525.9</v>
      </c>
      <c r="K17" s="351">
        <v>323.39999999999998</v>
      </c>
      <c r="L17" s="351">
        <v>328.1</v>
      </c>
      <c r="M17" s="351">
        <v>293.39999999999998</v>
      </c>
      <c r="N17" s="351">
        <v>291.60000000000002</v>
      </c>
      <c r="O17" s="351">
        <f>1.1+484.2</f>
        <v>485.3</v>
      </c>
      <c r="P17" s="351">
        <v>274.5</v>
      </c>
      <c r="Q17" s="351">
        <f>10.6+113+1.7+16.5+3.8+1.5+59.6+110.5+0.3+10+36.6</f>
        <v>364.10000000000008</v>
      </c>
      <c r="R17" s="586">
        <f t="shared" si="11"/>
        <v>4363.9000000000005</v>
      </c>
      <c r="S17" s="335">
        <f t="shared" si="1"/>
        <v>601.5</v>
      </c>
      <c r="T17" s="335">
        <v>5025</v>
      </c>
      <c r="U17" s="335">
        <f t="shared" si="2"/>
        <v>5025</v>
      </c>
      <c r="V17" s="96">
        <f t="shared" si="3"/>
        <v>5025</v>
      </c>
      <c r="W17" s="96">
        <f t="shared" si="12"/>
        <v>1100</v>
      </c>
      <c r="X17" s="96">
        <v>200</v>
      </c>
      <c r="Y17" s="96">
        <v>500</v>
      </c>
      <c r="Z17" s="96">
        <v>400</v>
      </c>
      <c r="AA17" s="96">
        <v>400</v>
      </c>
      <c r="AB17" s="96">
        <v>500</v>
      </c>
      <c r="AC17" s="96">
        <v>400</v>
      </c>
      <c r="AD17" s="96">
        <v>500</v>
      </c>
      <c r="AE17" s="96">
        <v>400</v>
      </c>
      <c r="AF17" s="96">
        <v>400</v>
      </c>
      <c r="AG17" s="96">
        <v>400</v>
      </c>
      <c r="AH17" s="96">
        <v>400</v>
      </c>
      <c r="AI17" s="96">
        <v>525</v>
      </c>
      <c r="AJ17" s="571">
        <v>192.1</v>
      </c>
      <c r="AK17" s="571">
        <f>2.6+288</f>
        <v>290.60000000000002</v>
      </c>
      <c r="AL17" s="566"/>
      <c r="AM17" s="566"/>
      <c r="AN17" s="566"/>
      <c r="AO17" s="566"/>
      <c r="AP17" s="566"/>
      <c r="AQ17" s="566"/>
      <c r="AR17" s="566"/>
      <c r="AS17" s="566"/>
      <c r="AT17" s="566"/>
      <c r="AU17" s="566"/>
      <c r="AV17" s="602">
        <f t="shared" si="5"/>
        <v>482.70000000000005</v>
      </c>
      <c r="AW17" s="335">
        <f t="shared" si="6"/>
        <v>-209.39999999999998</v>
      </c>
      <c r="AX17" s="335">
        <f t="shared" si="7"/>
        <v>-217.29999999999995</v>
      </c>
      <c r="AY17" s="335">
        <f t="shared" si="8"/>
        <v>-617.29999999999995</v>
      </c>
      <c r="AZ17" s="170"/>
      <c r="BA17" s="102"/>
      <c r="BB17" s="186"/>
      <c r="BC17" s="266"/>
      <c r="BD17" s="186"/>
      <c r="BE17" s="186"/>
      <c r="BF17" s="186"/>
      <c r="BG17" s="549"/>
      <c r="BH17" s="550"/>
    </row>
    <row r="18" spans="1:70" s="14" customFormat="1" ht="23.25" customHeight="1" outlineLevel="3" x14ac:dyDescent="0.25">
      <c r="A18" s="5" t="s">
        <v>23</v>
      </c>
      <c r="B18" s="195" t="s">
        <v>107</v>
      </c>
      <c r="C18" s="137"/>
      <c r="D18" s="335">
        <v>1562.5</v>
      </c>
      <c r="E18" s="335">
        <v>1573.4</v>
      </c>
      <c r="F18" s="351">
        <f>2.4+109</f>
        <v>111.4</v>
      </c>
      <c r="G18" s="351">
        <f>2.4+127.4</f>
        <v>129.80000000000001</v>
      </c>
      <c r="H18" s="351">
        <v>157.19999999999999</v>
      </c>
      <c r="I18" s="351">
        <f>128.8+2.1</f>
        <v>130.9</v>
      </c>
      <c r="J18" s="351">
        <v>137.30000000000001</v>
      </c>
      <c r="K18" s="351">
        <v>205.9</v>
      </c>
      <c r="L18" s="351">
        <v>118.6</v>
      </c>
      <c r="M18" s="351">
        <v>118.2</v>
      </c>
      <c r="N18" s="351">
        <f>11.7+106.8</f>
        <v>118.5</v>
      </c>
      <c r="O18" s="351">
        <v>115.3</v>
      </c>
      <c r="P18" s="351">
        <v>108.6</v>
      </c>
      <c r="Q18" s="351">
        <f>11.7+2.9+5.1+6.6+5.8+16.8+72.8+11.9+11.7</f>
        <v>145.29999999999998</v>
      </c>
      <c r="R18" s="586">
        <f t="shared" si="11"/>
        <v>1596.9999999999998</v>
      </c>
      <c r="S18" s="335">
        <f t="shared" si="1"/>
        <v>241.20000000000002</v>
      </c>
      <c r="T18" s="335">
        <v>1623</v>
      </c>
      <c r="U18" s="335">
        <f t="shared" si="2"/>
        <v>1623</v>
      </c>
      <c r="V18" s="96">
        <f t="shared" si="3"/>
        <v>1623</v>
      </c>
      <c r="W18" s="96">
        <f t="shared" si="12"/>
        <v>350</v>
      </c>
      <c r="X18" s="96">
        <v>100</v>
      </c>
      <c r="Y18" s="96">
        <v>130</v>
      </c>
      <c r="Z18" s="96">
        <v>120</v>
      </c>
      <c r="AA18" s="96">
        <v>130</v>
      </c>
      <c r="AB18" s="96">
        <v>120</v>
      </c>
      <c r="AC18" s="96">
        <v>120</v>
      </c>
      <c r="AD18" s="96">
        <v>130</v>
      </c>
      <c r="AE18" s="96">
        <v>130</v>
      </c>
      <c r="AF18" s="96">
        <v>130</v>
      </c>
      <c r="AG18" s="96">
        <v>130</v>
      </c>
      <c r="AH18" s="96">
        <v>130</v>
      </c>
      <c r="AI18" s="96">
        <v>253</v>
      </c>
      <c r="AJ18" s="571">
        <v>185.9</v>
      </c>
      <c r="AK18" s="571">
        <v>124.2</v>
      </c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602">
        <f t="shared" si="5"/>
        <v>310.10000000000002</v>
      </c>
      <c r="AW18" s="335">
        <f t="shared" si="6"/>
        <v>-5.7999999999999972</v>
      </c>
      <c r="AX18" s="335">
        <f t="shared" si="7"/>
        <v>80.100000000000023</v>
      </c>
      <c r="AY18" s="335">
        <f t="shared" si="8"/>
        <v>-39.899999999999977</v>
      </c>
      <c r="AZ18" s="170"/>
      <c r="BA18" s="102"/>
      <c r="BB18" s="186"/>
      <c r="BC18" s="266"/>
      <c r="BD18" s="186"/>
      <c r="BE18" s="186"/>
      <c r="BF18" s="186"/>
      <c r="BG18" s="549"/>
      <c r="BH18" s="550"/>
    </row>
    <row r="19" spans="1:70" s="14" customFormat="1" ht="30.75" customHeight="1" outlineLevel="2" x14ac:dyDescent="0.25">
      <c r="A19" s="5"/>
      <c r="B19" s="432" t="s">
        <v>364</v>
      </c>
      <c r="C19" s="137"/>
      <c r="D19" s="335">
        <v>0</v>
      </c>
      <c r="E19" s="335">
        <v>6.8</v>
      </c>
      <c r="F19" s="350"/>
      <c r="G19" s="350"/>
      <c r="H19" s="351"/>
      <c r="I19" s="351">
        <v>1.6</v>
      </c>
      <c r="J19" s="351">
        <v>5.2</v>
      </c>
      <c r="K19" s="351">
        <v>-0.1</v>
      </c>
      <c r="L19" s="350"/>
      <c r="M19" s="351"/>
      <c r="N19" s="350"/>
      <c r="O19" s="351">
        <v>0.1</v>
      </c>
      <c r="P19" s="351"/>
      <c r="Q19" s="351">
        <v>0.1</v>
      </c>
      <c r="R19" s="586">
        <f t="shared" si="11"/>
        <v>6.9</v>
      </c>
      <c r="S19" s="335">
        <f t="shared" si="1"/>
        <v>0</v>
      </c>
      <c r="T19" s="335">
        <v>7</v>
      </c>
      <c r="U19" s="335">
        <f t="shared" si="2"/>
        <v>7</v>
      </c>
      <c r="V19" s="96">
        <f>X19+Y19+Z19+AA19+AB19+AC19+AD19+AE19+AF19+AG19+AH19+AI19</f>
        <v>7</v>
      </c>
      <c r="W19" s="96">
        <f>X19+Y19+Z19</f>
        <v>0</v>
      </c>
      <c r="X19" s="96"/>
      <c r="Y19" s="96"/>
      <c r="Z19" s="96"/>
      <c r="AA19" s="96">
        <v>2</v>
      </c>
      <c r="AB19" s="96">
        <v>4</v>
      </c>
      <c r="AC19" s="96"/>
      <c r="AD19" s="96">
        <v>1</v>
      </c>
      <c r="AE19" s="96"/>
      <c r="AF19" s="96">
        <f>AG19+AH19+AI19</f>
        <v>0</v>
      </c>
      <c r="AG19" s="96"/>
      <c r="AH19" s="96"/>
      <c r="AI19" s="161"/>
      <c r="AJ19" s="571"/>
      <c r="AK19" s="571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602">
        <f t="shared" si="5"/>
        <v>0</v>
      </c>
      <c r="AW19" s="335">
        <f t="shared" si="6"/>
        <v>0</v>
      </c>
      <c r="AX19" s="335">
        <f t="shared" si="7"/>
        <v>0</v>
      </c>
      <c r="AY19" s="335">
        <f t="shared" si="8"/>
        <v>0</v>
      </c>
      <c r="AZ19" s="170"/>
      <c r="BA19" s="102"/>
      <c r="BB19" s="186"/>
      <c r="BC19" s="266"/>
      <c r="BD19" s="186"/>
      <c r="BE19" s="186"/>
      <c r="BF19" s="186"/>
      <c r="BG19" s="549"/>
      <c r="BH19" s="550"/>
    </row>
    <row r="20" spans="1:70" s="14" customFormat="1" ht="34.5" customHeight="1" outlineLevel="2" x14ac:dyDescent="0.25">
      <c r="A20" s="5" t="s">
        <v>24</v>
      </c>
      <c r="B20" s="194" t="s">
        <v>25</v>
      </c>
      <c r="C20" s="137"/>
      <c r="D20" s="335">
        <v>924.8</v>
      </c>
      <c r="E20" s="335">
        <v>691.7</v>
      </c>
      <c r="F20" s="351"/>
      <c r="G20" s="351">
        <v>330.9</v>
      </c>
      <c r="H20" s="351">
        <v>-10.1</v>
      </c>
      <c r="I20" s="351">
        <v>99.4</v>
      </c>
      <c r="J20" s="351"/>
      <c r="K20" s="351">
        <v>-0.2</v>
      </c>
      <c r="L20" s="351">
        <v>134.9</v>
      </c>
      <c r="M20" s="351"/>
      <c r="N20" s="351">
        <v>1.2</v>
      </c>
      <c r="O20" s="351">
        <v>135</v>
      </c>
      <c r="P20" s="351"/>
      <c r="Q20" s="351">
        <v>0.6</v>
      </c>
      <c r="R20" s="586">
        <f t="shared" si="11"/>
        <v>691.7</v>
      </c>
      <c r="S20" s="335">
        <f t="shared" si="1"/>
        <v>330.9</v>
      </c>
      <c r="T20" s="335">
        <v>0</v>
      </c>
      <c r="U20" s="335">
        <f t="shared" si="2"/>
        <v>0</v>
      </c>
      <c r="V20" s="96">
        <f t="shared" si="3"/>
        <v>0</v>
      </c>
      <c r="W20" s="96">
        <f t="shared" si="12"/>
        <v>0</v>
      </c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571"/>
      <c r="AK20" s="571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602">
        <f t="shared" si="5"/>
        <v>0</v>
      </c>
      <c r="AW20" s="335">
        <f t="shared" si="6"/>
        <v>0</v>
      </c>
      <c r="AX20" s="335">
        <f t="shared" si="7"/>
        <v>0</v>
      </c>
      <c r="AY20" s="335">
        <f t="shared" si="8"/>
        <v>0</v>
      </c>
      <c r="AZ20" s="170"/>
      <c r="BA20" s="102"/>
      <c r="BB20" s="186"/>
      <c r="BC20" s="266"/>
      <c r="BD20" s="186"/>
      <c r="BE20" s="186"/>
      <c r="BF20" s="186"/>
      <c r="BG20" s="549"/>
      <c r="BH20" s="550"/>
    </row>
    <row r="21" spans="1:70" s="14" customFormat="1" ht="37.5" customHeight="1" outlineLevel="2" x14ac:dyDescent="0.25">
      <c r="A21" s="5" t="s">
        <v>26</v>
      </c>
      <c r="B21" s="194" t="s">
        <v>469</v>
      </c>
      <c r="C21" s="137"/>
      <c r="D21" s="335">
        <v>444.4</v>
      </c>
      <c r="E21" s="335">
        <v>485.6</v>
      </c>
      <c r="F21" s="351">
        <v>36</v>
      </c>
      <c r="G21" s="351"/>
      <c r="H21" s="351"/>
      <c r="I21" s="351">
        <v>98.5</v>
      </c>
      <c r="J21" s="351">
        <v>28.2</v>
      </c>
      <c r="K21" s="351"/>
      <c r="L21" s="351">
        <v>40.9</v>
      </c>
      <c r="M21" s="351"/>
      <c r="N21" s="351">
        <f>10.2+1.8</f>
        <v>12</v>
      </c>
      <c r="O21" s="351">
        <v>109.6</v>
      </c>
      <c r="P21" s="351"/>
      <c r="Q21" s="351">
        <f>46.4+1.1+113</f>
        <v>160.5</v>
      </c>
      <c r="R21" s="586">
        <f t="shared" si="11"/>
        <v>485.7</v>
      </c>
      <c r="S21" s="335">
        <f t="shared" si="1"/>
        <v>36</v>
      </c>
      <c r="T21" s="335">
        <v>447.3</v>
      </c>
      <c r="U21" s="335">
        <f t="shared" si="2"/>
        <v>447.3</v>
      </c>
      <c r="V21" s="96">
        <f t="shared" si="3"/>
        <v>447.3</v>
      </c>
      <c r="W21" s="96">
        <f t="shared" si="12"/>
        <v>25.5</v>
      </c>
      <c r="X21" s="335"/>
      <c r="Y21" s="335">
        <v>25.5</v>
      </c>
      <c r="Z21" s="335"/>
      <c r="AA21" s="335">
        <v>90</v>
      </c>
      <c r="AB21" s="335">
        <v>25.5</v>
      </c>
      <c r="AC21" s="335">
        <v>12</v>
      </c>
      <c r="AD21" s="335">
        <v>45.5</v>
      </c>
      <c r="AE21" s="335">
        <v>20</v>
      </c>
      <c r="AF21" s="335">
        <v>25</v>
      </c>
      <c r="AG21" s="335">
        <v>35.5</v>
      </c>
      <c r="AH21" s="335">
        <v>95.3</v>
      </c>
      <c r="AI21" s="335">
        <v>73</v>
      </c>
      <c r="AJ21" s="571"/>
      <c r="AK21" s="571">
        <v>4.8</v>
      </c>
      <c r="AL21" s="566"/>
      <c r="AM21" s="566"/>
      <c r="AN21" s="566"/>
      <c r="AO21" s="566"/>
      <c r="AP21" s="566"/>
      <c r="AQ21" s="566"/>
      <c r="AR21" s="566"/>
      <c r="AS21" s="566"/>
      <c r="AT21" s="566"/>
      <c r="AU21" s="566"/>
      <c r="AV21" s="602">
        <f t="shared" si="5"/>
        <v>4.8</v>
      </c>
      <c r="AW21" s="335">
        <f t="shared" si="6"/>
        <v>-20.7</v>
      </c>
      <c r="AX21" s="335">
        <f t="shared" si="7"/>
        <v>-20.7</v>
      </c>
      <c r="AY21" s="335">
        <f t="shared" si="8"/>
        <v>-20.7</v>
      </c>
      <c r="AZ21" s="170"/>
      <c r="BA21" s="102"/>
      <c r="BB21" s="186"/>
      <c r="BC21" s="266"/>
      <c r="BD21" s="186"/>
      <c r="BE21" s="186"/>
      <c r="BF21" s="186"/>
      <c r="BG21" s="549"/>
      <c r="BH21" s="550"/>
    </row>
    <row r="22" spans="1:70" s="14" customFormat="1" ht="31.5" customHeight="1" outlineLevel="2" x14ac:dyDescent="0.25">
      <c r="A22" s="5"/>
      <c r="B22" s="194" t="s">
        <v>570</v>
      </c>
      <c r="C22" s="137"/>
      <c r="D22" s="335">
        <v>122.4</v>
      </c>
      <c r="E22" s="335">
        <v>167.7</v>
      </c>
      <c r="F22" s="351">
        <v>11.3</v>
      </c>
      <c r="G22" s="351">
        <v>11</v>
      </c>
      <c r="H22" s="351">
        <v>11.1</v>
      </c>
      <c r="I22" s="351">
        <v>11.2</v>
      </c>
      <c r="J22" s="351">
        <v>11.2</v>
      </c>
      <c r="K22" s="351">
        <v>11.2</v>
      </c>
      <c r="L22" s="351">
        <v>42.7</v>
      </c>
      <c r="M22" s="351">
        <v>11</v>
      </c>
      <c r="N22" s="351">
        <v>11.9</v>
      </c>
      <c r="O22" s="351">
        <f>89.9+11.5-90</f>
        <v>11.400000000000006</v>
      </c>
      <c r="P22" s="351">
        <v>12.4</v>
      </c>
      <c r="Q22" s="351">
        <v>11.2</v>
      </c>
      <c r="R22" s="586">
        <f t="shared" si="11"/>
        <v>167.6</v>
      </c>
      <c r="S22" s="335">
        <f t="shared" si="1"/>
        <v>22.3</v>
      </c>
      <c r="T22" s="335">
        <v>138</v>
      </c>
      <c r="U22" s="335">
        <f t="shared" si="2"/>
        <v>138</v>
      </c>
      <c r="V22" s="96">
        <f>X22+Y22+Z22+AA22+AB22+AC22+AD22+AE22+AF22+AG22+AH22+AI22</f>
        <v>138</v>
      </c>
      <c r="W22" s="96">
        <f t="shared" si="12"/>
        <v>34.5</v>
      </c>
      <c r="X22" s="335"/>
      <c r="Y22" s="335">
        <v>34.5</v>
      </c>
      <c r="Z22" s="335"/>
      <c r="AA22" s="335"/>
      <c r="AB22" s="335">
        <v>34.5</v>
      </c>
      <c r="AC22" s="335"/>
      <c r="AD22" s="335">
        <v>34.5</v>
      </c>
      <c r="AE22" s="335"/>
      <c r="AF22" s="335"/>
      <c r="AG22" s="335">
        <v>34.5</v>
      </c>
      <c r="AH22" s="335"/>
      <c r="AI22" s="335"/>
      <c r="AJ22" s="571">
        <v>11.1</v>
      </c>
      <c r="AK22" s="571">
        <v>0.5</v>
      </c>
      <c r="AL22" s="566"/>
      <c r="AM22" s="566"/>
      <c r="AN22" s="566"/>
      <c r="AO22" s="566"/>
      <c r="AP22" s="566"/>
      <c r="AQ22" s="566"/>
      <c r="AR22" s="566"/>
      <c r="AS22" s="566"/>
      <c r="AT22" s="566"/>
      <c r="AU22" s="566"/>
      <c r="AV22" s="602">
        <f t="shared" si="5"/>
        <v>11.6</v>
      </c>
      <c r="AW22" s="335">
        <f t="shared" si="6"/>
        <v>-34</v>
      </c>
      <c r="AX22" s="335">
        <f t="shared" si="7"/>
        <v>-22.9</v>
      </c>
      <c r="AY22" s="335">
        <f t="shared" si="8"/>
        <v>-22.9</v>
      </c>
      <c r="AZ22" s="170"/>
      <c r="BA22" s="102"/>
      <c r="BB22" s="186"/>
      <c r="BC22" s="266"/>
      <c r="BD22" s="186"/>
      <c r="BE22" s="186"/>
      <c r="BF22" s="186"/>
      <c r="BG22" s="549"/>
      <c r="BH22" s="550"/>
    </row>
    <row r="23" spans="1:70" s="14" customFormat="1" ht="32.25" customHeight="1" outlineLevel="2" x14ac:dyDescent="0.25">
      <c r="A23" s="5"/>
      <c r="B23" s="194" t="s">
        <v>669</v>
      </c>
      <c r="C23" s="137"/>
      <c r="D23" s="335">
        <v>0</v>
      </c>
      <c r="E23" s="335">
        <v>737.3</v>
      </c>
      <c r="F23" s="351"/>
      <c r="G23" s="351"/>
      <c r="H23" s="351"/>
      <c r="I23" s="351"/>
      <c r="J23" s="351"/>
      <c r="K23" s="351"/>
      <c r="L23" s="351">
        <v>737.3</v>
      </c>
      <c r="M23" s="351"/>
      <c r="N23" s="351"/>
      <c r="O23" s="351"/>
      <c r="P23" s="351"/>
      <c r="Q23" s="351"/>
      <c r="R23" s="586">
        <f t="shared" si="11"/>
        <v>737.3</v>
      </c>
      <c r="S23" s="335">
        <f t="shared" si="1"/>
        <v>0</v>
      </c>
      <c r="T23" s="335">
        <v>0</v>
      </c>
      <c r="U23" s="335">
        <f t="shared" si="2"/>
        <v>0</v>
      </c>
      <c r="V23" s="96">
        <f t="shared" si="3"/>
        <v>0</v>
      </c>
      <c r="W23" s="96">
        <f t="shared" si="12"/>
        <v>0</v>
      </c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571"/>
      <c r="AK23" s="571"/>
      <c r="AL23" s="566"/>
      <c r="AM23" s="566"/>
      <c r="AN23" s="566"/>
      <c r="AO23" s="566"/>
      <c r="AP23" s="566"/>
      <c r="AQ23" s="566"/>
      <c r="AR23" s="566"/>
      <c r="AS23" s="566"/>
      <c r="AT23" s="566"/>
      <c r="AU23" s="566"/>
      <c r="AV23" s="602">
        <f t="shared" si="5"/>
        <v>0</v>
      </c>
      <c r="AW23" s="335">
        <f t="shared" si="6"/>
        <v>0</v>
      </c>
      <c r="AX23" s="335">
        <f t="shared" si="7"/>
        <v>0</v>
      </c>
      <c r="AY23" s="335">
        <f t="shared" si="8"/>
        <v>0</v>
      </c>
      <c r="AZ23" s="170"/>
      <c r="BA23" s="102"/>
      <c r="BB23" s="186"/>
      <c r="BC23" s="266"/>
      <c r="BD23" s="186"/>
      <c r="BE23" s="186"/>
      <c r="BF23" s="186"/>
      <c r="BG23" s="549"/>
      <c r="BH23" s="550"/>
    </row>
    <row r="24" spans="1:70" s="14" customFormat="1" ht="33.75" customHeight="1" outlineLevel="2" x14ac:dyDescent="0.25">
      <c r="A24" s="5" t="s">
        <v>27</v>
      </c>
      <c r="B24" s="194" t="s">
        <v>571</v>
      </c>
      <c r="C24" s="137"/>
      <c r="D24" s="335">
        <v>4500</v>
      </c>
      <c r="E24" s="335">
        <v>12108.5</v>
      </c>
      <c r="F24" s="351">
        <v>155</v>
      </c>
      <c r="G24" s="351">
        <v>371.8</v>
      </c>
      <c r="H24" s="351">
        <v>554</v>
      </c>
      <c r="I24" s="351">
        <v>777.8</v>
      </c>
      <c r="J24" s="351">
        <f>116+23</f>
        <v>139</v>
      </c>
      <c r="K24" s="351">
        <v>166.5</v>
      </c>
      <c r="L24" s="351">
        <v>341.7</v>
      </c>
      <c r="M24" s="351"/>
      <c r="N24" s="351">
        <v>314.7</v>
      </c>
      <c r="O24" s="351">
        <v>4910.8</v>
      </c>
      <c r="P24" s="351">
        <f>21.6+212.7</f>
        <v>234.29999999999998</v>
      </c>
      <c r="Q24" s="351">
        <f>246.7+19.9+26.3+0.7+3849.4+32.3</f>
        <v>4175.3</v>
      </c>
      <c r="R24" s="586">
        <f t="shared" si="11"/>
        <v>12140.9</v>
      </c>
      <c r="S24" s="335">
        <f t="shared" si="1"/>
        <v>526.79999999999995</v>
      </c>
      <c r="T24" s="335">
        <v>4500</v>
      </c>
      <c r="U24" s="335">
        <f t="shared" si="2"/>
        <v>4500</v>
      </c>
      <c r="V24" s="96">
        <f t="shared" si="3"/>
        <v>4500</v>
      </c>
      <c r="W24" s="96">
        <f t="shared" si="12"/>
        <v>500</v>
      </c>
      <c r="X24" s="96"/>
      <c r="Y24" s="96">
        <v>250</v>
      </c>
      <c r="Z24" s="96">
        <v>250</v>
      </c>
      <c r="AA24" s="96">
        <v>500</v>
      </c>
      <c r="AB24" s="96">
        <v>500</v>
      </c>
      <c r="AC24" s="96">
        <v>500</v>
      </c>
      <c r="AD24" s="96">
        <v>500</v>
      </c>
      <c r="AE24" s="96">
        <v>500</v>
      </c>
      <c r="AF24" s="96">
        <v>500</v>
      </c>
      <c r="AG24" s="96">
        <v>300</v>
      </c>
      <c r="AH24" s="96">
        <v>400</v>
      </c>
      <c r="AI24" s="96">
        <v>300</v>
      </c>
      <c r="AJ24" s="571">
        <v>231.5</v>
      </c>
      <c r="AK24" s="571">
        <v>125.7</v>
      </c>
      <c r="AL24" s="566"/>
      <c r="AM24" s="566"/>
      <c r="AN24" s="566"/>
      <c r="AO24" s="566"/>
      <c r="AP24" s="566"/>
      <c r="AQ24" s="566"/>
      <c r="AR24" s="566"/>
      <c r="AS24" s="566"/>
      <c r="AT24" s="566"/>
      <c r="AU24" s="566"/>
      <c r="AV24" s="602">
        <f t="shared" si="5"/>
        <v>357.2</v>
      </c>
      <c r="AW24" s="335">
        <f t="shared" si="6"/>
        <v>-124.3</v>
      </c>
      <c r="AX24" s="335">
        <f t="shared" si="7"/>
        <v>107.19999999999999</v>
      </c>
      <c r="AY24" s="335">
        <f t="shared" si="8"/>
        <v>-142.80000000000001</v>
      </c>
      <c r="AZ24" s="170"/>
      <c r="BA24" s="102"/>
      <c r="BB24" s="186"/>
      <c r="BC24" s="266"/>
      <c r="BD24" s="186"/>
      <c r="BE24" s="186"/>
      <c r="BF24" s="186"/>
      <c r="BG24" s="549"/>
      <c r="BH24" s="550"/>
    </row>
    <row r="25" spans="1:70" s="14" customFormat="1" ht="33.75" customHeight="1" outlineLevel="2" x14ac:dyDescent="0.25">
      <c r="A25" s="5" t="s">
        <v>28</v>
      </c>
      <c r="B25" s="194" t="s">
        <v>424</v>
      </c>
      <c r="C25" s="137"/>
      <c r="D25" s="335">
        <v>650</v>
      </c>
      <c r="E25" s="335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586">
        <f t="shared" si="11"/>
        <v>0</v>
      </c>
      <c r="S25" s="335">
        <f t="shared" si="1"/>
        <v>0</v>
      </c>
      <c r="T25" s="335">
        <v>250</v>
      </c>
      <c r="U25" s="335">
        <f t="shared" si="2"/>
        <v>250</v>
      </c>
      <c r="V25" s="96">
        <f t="shared" si="3"/>
        <v>250</v>
      </c>
      <c r="W25" s="96">
        <f t="shared" si="12"/>
        <v>0</v>
      </c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161">
        <v>250</v>
      </c>
      <c r="AJ25" s="571"/>
      <c r="AK25" s="571"/>
      <c r="AL25" s="566"/>
      <c r="AM25" s="566"/>
      <c r="AN25" s="566"/>
      <c r="AO25" s="566"/>
      <c r="AP25" s="566"/>
      <c r="AQ25" s="566"/>
      <c r="AR25" s="566"/>
      <c r="AS25" s="566"/>
      <c r="AT25" s="566"/>
      <c r="AU25" s="566"/>
      <c r="AV25" s="602">
        <f t="shared" si="5"/>
        <v>0</v>
      </c>
      <c r="AW25" s="335">
        <f t="shared" si="6"/>
        <v>0</v>
      </c>
      <c r="AX25" s="335">
        <f t="shared" si="7"/>
        <v>0</v>
      </c>
      <c r="AY25" s="335">
        <f t="shared" si="8"/>
        <v>0</v>
      </c>
      <c r="AZ25" s="170"/>
      <c r="BA25" s="102"/>
      <c r="BB25" s="186"/>
      <c r="BC25" s="266"/>
      <c r="BD25" s="186"/>
      <c r="BE25" s="186"/>
      <c r="BF25" s="186"/>
      <c r="BG25" s="549"/>
      <c r="BH25" s="550"/>
    </row>
    <row r="26" spans="1:70" s="14" customFormat="1" ht="22.5" customHeight="1" outlineLevel="1" x14ac:dyDescent="0.25">
      <c r="A26" s="5" t="s">
        <v>29</v>
      </c>
      <c r="B26" s="194" t="s">
        <v>109</v>
      </c>
      <c r="C26" s="137"/>
      <c r="D26" s="335">
        <v>749.5</v>
      </c>
      <c r="E26" s="335">
        <v>842.3</v>
      </c>
      <c r="F26" s="351">
        <f>0.8+19.4+2.9+2+5.6</f>
        <v>30.699999999999996</v>
      </c>
      <c r="G26" s="351">
        <v>47.1</v>
      </c>
      <c r="H26" s="351">
        <v>26.7</v>
      </c>
      <c r="I26" s="351">
        <f>2.7+48</f>
        <v>50.7</v>
      </c>
      <c r="J26" s="351">
        <v>213.7</v>
      </c>
      <c r="K26" s="351">
        <f>25+16.9</f>
        <v>41.9</v>
      </c>
      <c r="L26" s="351">
        <v>61.6</v>
      </c>
      <c r="M26" s="351">
        <v>97.7</v>
      </c>
      <c r="N26" s="351">
        <v>34.299999999999997</v>
      </c>
      <c r="O26" s="351">
        <f>36.8+4.3</f>
        <v>41.099999999999994</v>
      </c>
      <c r="P26" s="351">
        <f>6.5+33.6+2.5+1</f>
        <v>43.6</v>
      </c>
      <c r="Q26" s="351">
        <f>0.8+2.5+0.5+2.3+1.5+3.7+2+133.8+5.4+0.8-13.4+1+2.8+14.8+0.2+1.8+0.7+2.5+1.4+0.5</f>
        <v>165.60000000000005</v>
      </c>
      <c r="R26" s="586">
        <f t="shared" si="11"/>
        <v>854.7</v>
      </c>
      <c r="S26" s="335">
        <f t="shared" si="1"/>
        <v>77.8</v>
      </c>
      <c r="T26" s="335">
        <v>951.3</v>
      </c>
      <c r="U26" s="335">
        <f t="shared" si="2"/>
        <v>951.3</v>
      </c>
      <c r="V26" s="96">
        <f t="shared" si="3"/>
        <v>951.3</v>
      </c>
      <c r="W26" s="96">
        <f t="shared" si="12"/>
        <v>121.3</v>
      </c>
      <c r="X26" s="96"/>
      <c r="Y26" s="96">
        <v>70</v>
      </c>
      <c r="Z26" s="96">
        <v>51.3</v>
      </c>
      <c r="AA26" s="96">
        <v>50</v>
      </c>
      <c r="AB26" s="96">
        <v>130</v>
      </c>
      <c r="AC26" s="96">
        <v>100</v>
      </c>
      <c r="AD26" s="96">
        <v>100</v>
      </c>
      <c r="AE26" s="96">
        <v>100</v>
      </c>
      <c r="AF26" s="96">
        <v>100</v>
      </c>
      <c r="AG26" s="96">
        <v>100</v>
      </c>
      <c r="AH26" s="96">
        <v>100</v>
      </c>
      <c r="AI26" s="161">
        <v>50</v>
      </c>
      <c r="AJ26" s="571">
        <f>11.5+10</f>
        <v>21.5</v>
      </c>
      <c r="AK26" s="571">
        <v>1338.5</v>
      </c>
      <c r="AL26" s="566"/>
      <c r="AM26" s="566"/>
      <c r="AN26" s="566"/>
      <c r="AO26" s="566"/>
      <c r="AP26" s="566"/>
      <c r="AQ26" s="566"/>
      <c r="AR26" s="566"/>
      <c r="AS26" s="566"/>
      <c r="AT26" s="566"/>
      <c r="AU26" s="566"/>
      <c r="AV26" s="602">
        <f t="shared" si="5"/>
        <v>1360</v>
      </c>
      <c r="AW26" s="335">
        <f t="shared" si="6"/>
        <v>1268.5</v>
      </c>
      <c r="AX26" s="335">
        <f t="shared" si="7"/>
        <v>1290</v>
      </c>
      <c r="AY26" s="335">
        <f t="shared" si="8"/>
        <v>1238.7</v>
      </c>
      <c r="AZ26" s="170"/>
      <c r="BA26" s="102"/>
      <c r="BB26" s="186"/>
      <c r="BC26" s="266"/>
      <c r="BD26" s="186"/>
      <c r="BE26" s="186"/>
      <c r="BF26" s="186"/>
      <c r="BG26" s="549"/>
      <c r="BH26" s="550"/>
    </row>
    <row r="27" spans="1:70" s="317" customFormat="1" ht="30.75" customHeight="1" outlineLevel="1" x14ac:dyDescent="0.25">
      <c r="A27" s="315"/>
      <c r="B27" s="97" t="s">
        <v>178</v>
      </c>
      <c r="C27" s="316"/>
      <c r="D27" s="335">
        <v>0</v>
      </c>
      <c r="E27" s="335">
        <v>0.6</v>
      </c>
      <c r="F27" s="176">
        <v>0.1</v>
      </c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>
        <v>0.5</v>
      </c>
      <c r="R27" s="586">
        <f t="shared" si="11"/>
        <v>0.6</v>
      </c>
      <c r="S27" s="335">
        <f t="shared" si="1"/>
        <v>0.1</v>
      </c>
      <c r="T27" s="335">
        <v>0</v>
      </c>
      <c r="U27" s="335">
        <f t="shared" si="2"/>
        <v>0</v>
      </c>
      <c r="V27" s="96">
        <f t="shared" si="3"/>
        <v>0</v>
      </c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571"/>
      <c r="AK27" s="571"/>
      <c r="AL27" s="566"/>
      <c r="AM27" s="566"/>
      <c r="AN27" s="566"/>
      <c r="AO27" s="566"/>
      <c r="AP27" s="566"/>
      <c r="AQ27" s="566"/>
      <c r="AR27" s="566"/>
      <c r="AS27" s="566"/>
      <c r="AT27" s="566"/>
      <c r="AU27" s="566"/>
      <c r="AV27" s="602">
        <f t="shared" si="5"/>
        <v>0</v>
      </c>
      <c r="AW27" s="335">
        <f t="shared" si="6"/>
        <v>0</v>
      </c>
      <c r="AX27" s="335">
        <f t="shared" si="7"/>
        <v>0</v>
      </c>
      <c r="AY27" s="335">
        <f t="shared" si="8"/>
        <v>0</v>
      </c>
      <c r="AZ27" s="170"/>
      <c r="BA27" s="102"/>
      <c r="BB27" s="186"/>
      <c r="BC27" s="266"/>
      <c r="BD27" s="186"/>
      <c r="BE27" s="186"/>
      <c r="BF27" s="186"/>
      <c r="BG27" s="268"/>
      <c r="BH27" s="550"/>
    </row>
    <row r="28" spans="1:70" s="317" customFormat="1" ht="18.75" hidden="1" customHeight="1" outlineLevel="1" x14ac:dyDescent="0.25">
      <c r="A28" s="315"/>
      <c r="B28" s="197" t="s">
        <v>452</v>
      </c>
      <c r="C28" s="316"/>
      <c r="D28" s="335">
        <v>0</v>
      </c>
      <c r="E28" s="335">
        <v>0</v>
      </c>
      <c r="F28" s="174"/>
      <c r="G28" s="176"/>
      <c r="H28" s="176"/>
      <c r="I28" s="176"/>
      <c r="J28" s="176"/>
      <c r="K28" s="176">
        <v>2.2000000000000002</v>
      </c>
      <c r="L28" s="176">
        <v>-2.2000000000000002</v>
      </c>
      <c r="M28" s="176"/>
      <c r="N28" s="176"/>
      <c r="O28" s="176"/>
      <c r="P28" s="176">
        <v>11.7</v>
      </c>
      <c r="Q28" s="176">
        <f>-11.7</f>
        <v>-11.7</v>
      </c>
      <c r="R28" s="586">
        <f t="shared" si="11"/>
        <v>0</v>
      </c>
      <c r="S28" s="335">
        <f t="shared" si="1"/>
        <v>0</v>
      </c>
      <c r="T28" s="335">
        <v>0</v>
      </c>
      <c r="U28" s="335">
        <f t="shared" si="2"/>
        <v>0</v>
      </c>
      <c r="V28" s="96">
        <f t="shared" si="3"/>
        <v>0</v>
      </c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571"/>
      <c r="AK28" s="571"/>
      <c r="AL28" s="566"/>
      <c r="AM28" s="566"/>
      <c r="AN28" s="566"/>
      <c r="AO28" s="566"/>
      <c r="AP28" s="566"/>
      <c r="AQ28" s="566"/>
      <c r="AR28" s="566"/>
      <c r="AS28" s="566"/>
      <c r="AT28" s="566"/>
      <c r="AU28" s="566"/>
      <c r="AV28" s="602">
        <f t="shared" si="5"/>
        <v>0</v>
      </c>
      <c r="AW28" s="335">
        <f t="shared" si="6"/>
        <v>0</v>
      </c>
      <c r="AX28" s="335">
        <f t="shared" si="7"/>
        <v>0</v>
      </c>
      <c r="AY28" s="335">
        <f t="shared" si="8"/>
        <v>0</v>
      </c>
      <c r="AZ28" s="170"/>
      <c r="BA28" s="102"/>
      <c r="BB28" s="186"/>
      <c r="BC28" s="266"/>
      <c r="BD28" s="186"/>
      <c r="BE28" s="186"/>
      <c r="BF28" s="186"/>
      <c r="BG28" s="268"/>
      <c r="BH28" s="550"/>
    </row>
    <row r="29" spans="1:70" s="317" customFormat="1" ht="32.25" customHeight="1" outlineLevel="1" x14ac:dyDescent="0.25">
      <c r="A29" s="315"/>
      <c r="B29" s="197" t="s">
        <v>673</v>
      </c>
      <c r="C29" s="316"/>
      <c r="D29" s="335"/>
      <c r="E29" s="335"/>
      <c r="F29" s="174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586">
        <v>0</v>
      </c>
      <c r="S29" s="335">
        <f t="shared" si="1"/>
        <v>0</v>
      </c>
      <c r="T29" s="335">
        <v>0</v>
      </c>
      <c r="U29" s="335">
        <f>311.5+286.1+1294</f>
        <v>1891.6</v>
      </c>
      <c r="V29" s="96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571"/>
      <c r="AK29" s="571"/>
      <c r="AL29" s="566"/>
      <c r="AM29" s="566"/>
      <c r="AN29" s="566"/>
      <c r="AO29" s="566"/>
      <c r="AP29" s="566"/>
      <c r="AQ29" s="566"/>
      <c r="AR29" s="566"/>
      <c r="AS29" s="566"/>
      <c r="AT29" s="566"/>
      <c r="AU29" s="566"/>
      <c r="AV29" s="602">
        <f t="shared" si="5"/>
        <v>0</v>
      </c>
      <c r="AW29" s="335">
        <f t="shared" si="6"/>
        <v>0</v>
      </c>
      <c r="AX29" s="335">
        <f t="shared" si="7"/>
        <v>0</v>
      </c>
      <c r="AY29" s="335">
        <f t="shared" si="8"/>
        <v>0</v>
      </c>
      <c r="AZ29" s="170"/>
      <c r="BA29" s="102"/>
      <c r="BB29" s="186"/>
      <c r="BC29" s="266"/>
      <c r="BD29" s="186"/>
      <c r="BE29" s="186"/>
      <c r="BF29" s="186"/>
      <c r="BG29" s="268"/>
      <c r="BH29" s="550"/>
    </row>
    <row r="30" spans="1:70" s="317" customFormat="1" ht="23.25" customHeight="1" outlineLevel="1" x14ac:dyDescent="0.25">
      <c r="A30" s="315"/>
      <c r="B30" s="197" t="s">
        <v>674</v>
      </c>
      <c r="C30" s="316"/>
      <c r="D30" s="335">
        <v>0</v>
      </c>
      <c r="E30" s="335">
        <v>695.4</v>
      </c>
      <c r="F30" s="174"/>
      <c r="G30" s="174"/>
      <c r="H30" s="174"/>
      <c r="I30" s="176"/>
      <c r="J30" s="176">
        <f>109.7+190.5</f>
        <v>300.2</v>
      </c>
      <c r="K30" s="176">
        <f>80.1+309.5</f>
        <v>389.6</v>
      </c>
      <c r="L30" s="176">
        <v>5.6</v>
      </c>
      <c r="M30" s="176"/>
      <c r="N30" s="176"/>
      <c r="O30" s="174"/>
      <c r="P30" s="176"/>
      <c r="Q30" s="174"/>
      <c r="R30" s="586">
        <f>SUM(F30:Q30)</f>
        <v>695.4</v>
      </c>
      <c r="S30" s="335">
        <f t="shared" si="1"/>
        <v>0</v>
      </c>
      <c r="T30" s="335">
        <v>0</v>
      </c>
      <c r="U30" s="335">
        <v>507.9</v>
      </c>
      <c r="V30" s="96">
        <f t="shared" si="3"/>
        <v>0</v>
      </c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571"/>
      <c r="AK30" s="571"/>
      <c r="AL30" s="566"/>
      <c r="AM30" s="566"/>
      <c r="AN30" s="566"/>
      <c r="AO30" s="566"/>
      <c r="AP30" s="566"/>
      <c r="AQ30" s="566"/>
      <c r="AR30" s="566"/>
      <c r="AS30" s="566"/>
      <c r="AT30" s="566"/>
      <c r="AU30" s="566"/>
      <c r="AV30" s="602">
        <f t="shared" si="5"/>
        <v>0</v>
      </c>
      <c r="AW30" s="335">
        <f t="shared" si="6"/>
        <v>0</v>
      </c>
      <c r="AX30" s="335">
        <f t="shared" si="7"/>
        <v>0</v>
      </c>
      <c r="AY30" s="335">
        <f t="shared" si="8"/>
        <v>0</v>
      </c>
      <c r="AZ30" s="170"/>
      <c r="BA30" s="102"/>
      <c r="BB30" s="186"/>
      <c r="BC30" s="266"/>
      <c r="BD30" s="186"/>
      <c r="BE30" s="186"/>
      <c r="BF30" s="186"/>
      <c r="BG30" s="268"/>
      <c r="BH30" s="550"/>
    </row>
    <row r="31" spans="1:70" s="14" customFormat="1" ht="24.75" customHeight="1" outlineLevel="1" x14ac:dyDescent="0.25">
      <c r="A31" s="5"/>
      <c r="B31" s="568" t="s">
        <v>146</v>
      </c>
      <c r="C31" s="569"/>
      <c r="D31" s="570">
        <f t="shared" ref="D31:AY31" si="14">SUM(D16:D30)</f>
        <v>13360.9</v>
      </c>
      <c r="E31" s="570">
        <f t="shared" si="14"/>
        <v>21757.3</v>
      </c>
      <c r="F31" s="570">
        <f t="shared" si="14"/>
        <v>540.80000000000007</v>
      </c>
      <c r="G31" s="570">
        <f t="shared" si="14"/>
        <v>1295.8</v>
      </c>
      <c r="H31" s="570">
        <f t="shared" si="14"/>
        <v>1385.2</v>
      </c>
      <c r="I31" s="570">
        <f t="shared" si="14"/>
        <v>1530.9</v>
      </c>
      <c r="J31" s="570">
        <f t="shared" si="14"/>
        <v>1360.7000000000003</v>
      </c>
      <c r="K31" s="570">
        <f t="shared" si="14"/>
        <v>1140.4000000000001</v>
      </c>
      <c r="L31" s="570">
        <f t="shared" si="14"/>
        <v>1809.1999999999998</v>
      </c>
      <c r="M31" s="570">
        <f t="shared" si="14"/>
        <v>520.29999999999995</v>
      </c>
      <c r="N31" s="570">
        <f t="shared" si="14"/>
        <v>784.19999999999993</v>
      </c>
      <c r="O31" s="570">
        <f t="shared" si="14"/>
        <v>5808.6</v>
      </c>
      <c r="P31" s="570">
        <f t="shared" si="14"/>
        <v>685.1</v>
      </c>
      <c r="Q31" s="570">
        <f t="shared" si="14"/>
        <v>5011.5000000000009</v>
      </c>
      <c r="R31" s="570">
        <f t="shared" si="14"/>
        <v>21872.7</v>
      </c>
      <c r="S31" s="570">
        <f t="shared" si="14"/>
        <v>1836.5999999999997</v>
      </c>
      <c r="T31" s="570">
        <f t="shared" si="14"/>
        <v>13076.599999999999</v>
      </c>
      <c r="U31" s="570">
        <f t="shared" si="14"/>
        <v>15476.099999999999</v>
      </c>
      <c r="V31" s="570">
        <f t="shared" si="14"/>
        <v>13076.599999999999</v>
      </c>
      <c r="W31" s="570">
        <f t="shared" si="14"/>
        <v>2131.3000000000002</v>
      </c>
      <c r="X31" s="570">
        <f t="shared" si="14"/>
        <v>300</v>
      </c>
      <c r="Y31" s="570">
        <f t="shared" si="14"/>
        <v>1010</v>
      </c>
      <c r="Z31" s="570">
        <f t="shared" si="14"/>
        <v>821.3</v>
      </c>
      <c r="AA31" s="570">
        <f t="shared" si="14"/>
        <v>1307</v>
      </c>
      <c r="AB31" s="570">
        <f t="shared" si="14"/>
        <v>1314</v>
      </c>
      <c r="AC31" s="570">
        <f t="shared" si="14"/>
        <v>1132</v>
      </c>
      <c r="AD31" s="570">
        <f t="shared" si="14"/>
        <v>1311</v>
      </c>
      <c r="AE31" s="570">
        <f t="shared" si="14"/>
        <v>1150</v>
      </c>
      <c r="AF31" s="570">
        <f t="shared" si="14"/>
        <v>1155</v>
      </c>
      <c r="AG31" s="570">
        <f t="shared" si="14"/>
        <v>1000</v>
      </c>
      <c r="AH31" s="570">
        <f t="shared" si="14"/>
        <v>1125.3</v>
      </c>
      <c r="AI31" s="570">
        <f t="shared" si="14"/>
        <v>1451</v>
      </c>
      <c r="AJ31" s="570">
        <f t="shared" si="14"/>
        <v>642.1</v>
      </c>
      <c r="AK31" s="570">
        <f t="shared" si="14"/>
        <v>1884.3000000000002</v>
      </c>
      <c r="AL31" s="570">
        <f t="shared" si="14"/>
        <v>0</v>
      </c>
      <c r="AM31" s="570">
        <f t="shared" si="14"/>
        <v>0</v>
      </c>
      <c r="AN31" s="570">
        <f t="shared" si="14"/>
        <v>0</v>
      </c>
      <c r="AO31" s="570">
        <f t="shared" si="14"/>
        <v>0</v>
      </c>
      <c r="AP31" s="570">
        <f t="shared" si="14"/>
        <v>0</v>
      </c>
      <c r="AQ31" s="570">
        <f t="shared" si="14"/>
        <v>0</v>
      </c>
      <c r="AR31" s="570">
        <f t="shared" si="14"/>
        <v>0</v>
      </c>
      <c r="AS31" s="570">
        <f t="shared" si="14"/>
        <v>0</v>
      </c>
      <c r="AT31" s="570">
        <f t="shared" si="14"/>
        <v>0</v>
      </c>
      <c r="AU31" s="570">
        <f t="shared" si="14"/>
        <v>0</v>
      </c>
      <c r="AV31" s="570">
        <f t="shared" si="14"/>
        <v>2526.4</v>
      </c>
      <c r="AW31" s="570">
        <f t="shared" si="14"/>
        <v>874.3</v>
      </c>
      <c r="AX31" s="570">
        <f t="shared" si="14"/>
        <v>1216.4000000000001</v>
      </c>
      <c r="AY31" s="570">
        <f t="shared" si="14"/>
        <v>395.10000000000014</v>
      </c>
      <c r="AZ31" s="333"/>
      <c r="BA31" s="236"/>
      <c r="BB31" s="266"/>
      <c r="BC31" s="236"/>
      <c r="BD31" s="266"/>
      <c r="BE31" s="266"/>
      <c r="BF31" s="236"/>
      <c r="BG31" s="236"/>
      <c r="BH31" s="236"/>
    </row>
    <row r="32" spans="1:70" s="14" customFormat="1" ht="39" outlineLevel="1" x14ac:dyDescent="0.25">
      <c r="A32" s="5"/>
      <c r="B32" s="577" t="s">
        <v>110</v>
      </c>
      <c r="C32" s="578"/>
      <c r="D32" s="174">
        <f t="shared" ref="D32:AY32" si="15">D31+D15</f>
        <v>356952</v>
      </c>
      <c r="E32" s="174">
        <f t="shared" si="15"/>
        <v>365348.39999999997</v>
      </c>
      <c r="F32" s="174">
        <f t="shared" si="15"/>
        <v>12471.3</v>
      </c>
      <c r="G32" s="174">
        <f t="shared" si="15"/>
        <v>24060.9</v>
      </c>
      <c r="H32" s="174">
        <f t="shared" si="15"/>
        <v>25095.200000000001</v>
      </c>
      <c r="I32" s="174">
        <f t="shared" si="15"/>
        <v>36776.400000000001</v>
      </c>
      <c r="J32" s="174">
        <f t="shared" si="15"/>
        <v>22914.499999999996</v>
      </c>
      <c r="K32" s="174">
        <f t="shared" si="15"/>
        <v>29593.599999999995</v>
      </c>
      <c r="L32" s="174">
        <f t="shared" si="15"/>
        <v>37607.799999999988</v>
      </c>
      <c r="M32" s="174">
        <f t="shared" si="15"/>
        <v>25757.300000000003</v>
      </c>
      <c r="N32" s="174">
        <f t="shared" si="15"/>
        <v>29007.000000000004</v>
      </c>
      <c r="O32" s="174">
        <f t="shared" si="15"/>
        <v>42025.400000000009</v>
      </c>
      <c r="P32" s="174">
        <f t="shared" si="15"/>
        <v>31903.299999999992</v>
      </c>
      <c r="Q32" s="174">
        <f t="shared" si="15"/>
        <v>56593.999999999978</v>
      </c>
      <c r="R32" s="570">
        <f t="shared" si="15"/>
        <v>373806.7</v>
      </c>
      <c r="S32" s="174">
        <f t="shared" ref="S32" si="16">S31+S15</f>
        <v>36532.199999999997</v>
      </c>
      <c r="T32" s="174">
        <f t="shared" si="15"/>
        <v>390794.8</v>
      </c>
      <c r="U32" s="174">
        <f t="shared" si="15"/>
        <v>393194.3</v>
      </c>
      <c r="V32" s="174">
        <f t="shared" si="15"/>
        <v>390794.8</v>
      </c>
      <c r="W32" s="174">
        <f t="shared" si="15"/>
        <v>58194.400000000001</v>
      </c>
      <c r="X32" s="174">
        <f t="shared" si="15"/>
        <v>9479.2000000000007</v>
      </c>
      <c r="Y32" s="174">
        <f t="shared" si="15"/>
        <v>23341.3</v>
      </c>
      <c r="Z32" s="174">
        <f t="shared" si="15"/>
        <v>25373.899999999998</v>
      </c>
      <c r="AA32" s="174">
        <f t="shared" si="15"/>
        <v>34513.699999999997</v>
      </c>
      <c r="AB32" s="174">
        <f t="shared" si="15"/>
        <v>22526.799999999999</v>
      </c>
      <c r="AC32" s="174">
        <f t="shared" si="15"/>
        <v>31054.2</v>
      </c>
      <c r="AD32" s="174">
        <f t="shared" si="15"/>
        <v>36200.500000000007</v>
      </c>
      <c r="AE32" s="174">
        <f t="shared" si="15"/>
        <v>26646.7</v>
      </c>
      <c r="AF32" s="174">
        <f t="shared" si="15"/>
        <v>29217.9</v>
      </c>
      <c r="AG32" s="174">
        <f t="shared" si="15"/>
        <v>35595.1</v>
      </c>
      <c r="AH32" s="174">
        <f t="shared" si="15"/>
        <v>32409.3</v>
      </c>
      <c r="AI32" s="174">
        <f t="shared" si="15"/>
        <v>84436.2</v>
      </c>
      <c r="AJ32" s="174">
        <f t="shared" si="15"/>
        <v>9782.0999999999985</v>
      </c>
      <c r="AK32" s="174">
        <f t="shared" si="15"/>
        <v>19312.3</v>
      </c>
      <c r="AL32" s="174">
        <f t="shared" si="15"/>
        <v>0</v>
      </c>
      <c r="AM32" s="174">
        <f t="shared" si="15"/>
        <v>0</v>
      </c>
      <c r="AN32" s="174">
        <f t="shared" si="15"/>
        <v>0</v>
      </c>
      <c r="AO32" s="174">
        <f t="shared" si="15"/>
        <v>0</v>
      </c>
      <c r="AP32" s="174">
        <f t="shared" si="15"/>
        <v>0</v>
      </c>
      <c r="AQ32" s="174">
        <f t="shared" si="15"/>
        <v>0</v>
      </c>
      <c r="AR32" s="174">
        <f t="shared" si="15"/>
        <v>0</v>
      </c>
      <c r="AS32" s="174">
        <f t="shared" si="15"/>
        <v>0</v>
      </c>
      <c r="AT32" s="174">
        <f t="shared" si="15"/>
        <v>0</v>
      </c>
      <c r="AU32" s="174">
        <f t="shared" si="15"/>
        <v>0</v>
      </c>
      <c r="AV32" s="598">
        <f t="shared" si="15"/>
        <v>29094.400000000005</v>
      </c>
      <c r="AW32" s="174">
        <f t="shared" si="15"/>
        <v>-4029</v>
      </c>
      <c r="AX32" s="174">
        <f t="shared" ref="AX32" si="17">AX31+AX15</f>
        <v>-3726.099999999999</v>
      </c>
      <c r="AY32" s="174">
        <f t="shared" si="15"/>
        <v>-29099.999999999996</v>
      </c>
      <c r="AZ32" s="169"/>
      <c r="BA32" s="106"/>
      <c r="BB32" s="187"/>
      <c r="BC32" s="106"/>
      <c r="BD32" s="187"/>
      <c r="BE32" s="187"/>
      <c r="BF32" s="106"/>
      <c r="BG32" s="106"/>
      <c r="BH32" s="106"/>
      <c r="BL32" s="189"/>
      <c r="BR32" s="189"/>
    </row>
    <row r="33" spans="1:71" s="622" customFormat="1" ht="28.5" customHeight="1" x14ac:dyDescent="0.25">
      <c r="A33" s="8"/>
      <c r="B33" s="575" t="s">
        <v>30</v>
      </c>
      <c r="C33" s="576"/>
      <c r="D33" s="570" t="e">
        <f t="shared" ref="D33:AY33" si="18">D35+D38+D76+D106+D116+D118+D119+D117</f>
        <v>#REF!</v>
      </c>
      <c r="E33" s="570" t="e">
        <f t="shared" si="18"/>
        <v>#REF!</v>
      </c>
      <c r="F33" s="570" t="e">
        <f t="shared" si="18"/>
        <v>#REF!</v>
      </c>
      <c r="G33" s="570" t="e">
        <f t="shared" si="18"/>
        <v>#REF!</v>
      </c>
      <c r="H33" s="570" t="e">
        <f t="shared" si="18"/>
        <v>#REF!</v>
      </c>
      <c r="I33" s="570" t="e">
        <f t="shared" si="18"/>
        <v>#REF!</v>
      </c>
      <c r="J33" s="570" t="e">
        <f t="shared" si="18"/>
        <v>#REF!</v>
      </c>
      <c r="K33" s="570" t="e">
        <f t="shared" si="18"/>
        <v>#REF!</v>
      </c>
      <c r="L33" s="570" t="e">
        <f t="shared" si="18"/>
        <v>#REF!</v>
      </c>
      <c r="M33" s="570" t="e">
        <f t="shared" si="18"/>
        <v>#REF!</v>
      </c>
      <c r="N33" s="570" t="e">
        <f t="shared" si="18"/>
        <v>#REF!</v>
      </c>
      <c r="O33" s="570" t="e">
        <f t="shared" si="18"/>
        <v>#REF!</v>
      </c>
      <c r="P33" s="570" t="e">
        <f t="shared" si="18"/>
        <v>#REF!</v>
      </c>
      <c r="Q33" s="570" t="e">
        <f t="shared" si="18"/>
        <v>#REF!</v>
      </c>
      <c r="R33" s="570">
        <f t="shared" si="18"/>
        <v>857058.80000000016</v>
      </c>
      <c r="S33" s="570">
        <f t="shared" ref="S33" si="19">S35+S38+S76+S106+S116+S118+S119+S117</f>
        <v>116155.29999999999</v>
      </c>
      <c r="T33" s="570">
        <f t="shared" si="18"/>
        <v>713369.9</v>
      </c>
      <c r="U33" s="570">
        <f t="shared" si="18"/>
        <v>709038.4</v>
      </c>
      <c r="V33" s="570">
        <f t="shared" si="18"/>
        <v>0</v>
      </c>
      <c r="W33" s="570">
        <f t="shared" si="18"/>
        <v>98298.799999999974</v>
      </c>
      <c r="X33" s="570">
        <f t="shared" si="18"/>
        <v>47658.999999999993</v>
      </c>
      <c r="Y33" s="570">
        <f t="shared" si="18"/>
        <v>50639.799999999996</v>
      </c>
      <c r="Z33" s="570">
        <f t="shared" si="18"/>
        <v>0</v>
      </c>
      <c r="AA33" s="570">
        <f t="shared" si="18"/>
        <v>0</v>
      </c>
      <c r="AB33" s="570">
        <f t="shared" si="18"/>
        <v>0</v>
      </c>
      <c r="AC33" s="570">
        <f t="shared" si="18"/>
        <v>0</v>
      </c>
      <c r="AD33" s="570">
        <f t="shared" si="18"/>
        <v>0</v>
      </c>
      <c r="AE33" s="570">
        <f t="shared" si="18"/>
        <v>0</v>
      </c>
      <c r="AF33" s="570">
        <f t="shared" si="18"/>
        <v>0</v>
      </c>
      <c r="AG33" s="570">
        <f t="shared" si="18"/>
        <v>0</v>
      </c>
      <c r="AH33" s="570">
        <f t="shared" si="18"/>
        <v>0</v>
      </c>
      <c r="AI33" s="570">
        <f t="shared" si="18"/>
        <v>0</v>
      </c>
      <c r="AJ33" s="570">
        <f t="shared" si="18"/>
        <v>47658.999999999993</v>
      </c>
      <c r="AK33" s="570">
        <f t="shared" si="18"/>
        <v>50639.799999999996</v>
      </c>
      <c r="AL33" s="570">
        <f t="shared" si="18"/>
        <v>0</v>
      </c>
      <c r="AM33" s="570">
        <f t="shared" si="18"/>
        <v>0</v>
      </c>
      <c r="AN33" s="570">
        <f t="shared" si="18"/>
        <v>0</v>
      </c>
      <c r="AO33" s="570">
        <f t="shared" si="18"/>
        <v>0</v>
      </c>
      <c r="AP33" s="570">
        <f t="shared" si="18"/>
        <v>0</v>
      </c>
      <c r="AQ33" s="570">
        <f t="shared" si="18"/>
        <v>0</v>
      </c>
      <c r="AR33" s="570">
        <f t="shared" si="18"/>
        <v>0</v>
      </c>
      <c r="AS33" s="570">
        <f t="shared" si="18"/>
        <v>0</v>
      </c>
      <c r="AT33" s="570">
        <f t="shared" si="18"/>
        <v>0</v>
      </c>
      <c r="AU33" s="570">
        <f t="shared" si="18"/>
        <v>0</v>
      </c>
      <c r="AV33" s="598">
        <f t="shared" si="18"/>
        <v>98298.799999999974</v>
      </c>
      <c r="AW33" s="570">
        <f t="shared" si="18"/>
        <v>0</v>
      </c>
      <c r="AX33" s="570">
        <f t="shared" ref="AX33" si="20">AX35+AX38+AX76+AX106+AX116+AX118+AX119+AX117</f>
        <v>0</v>
      </c>
      <c r="AY33" s="570">
        <f t="shared" si="18"/>
        <v>0</v>
      </c>
      <c r="AZ33" s="169"/>
      <c r="BA33" s="106"/>
      <c r="BB33" s="187"/>
      <c r="BC33" s="106"/>
      <c r="BD33" s="187"/>
      <c r="BE33" s="187"/>
      <c r="BF33" s="72"/>
      <c r="BS33" s="72"/>
    </row>
    <row r="34" spans="1:71" s="622" customFormat="1" ht="29.25" customHeight="1" x14ac:dyDescent="0.25">
      <c r="A34" s="8"/>
      <c r="B34" s="242" t="s">
        <v>291</v>
      </c>
      <c r="C34" s="25"/>
      <c r="D34" s="174" t="e">
        <f t="shared" ref="D34:AY34" si="21">D35+D38+D76+D106</f>
        <v>#REF!</v>
      </c>
      <c r="E34" s="174" t="e">
        <f t="shared" si="21"/>
        <v>#REF!</v>
      </c>
      <c r="F34" s="174" t="e">
        <f t="shared" si="21"/>
        <v>#REF!</v>
      </c>
      <c r="G34" s="174" t="e">
        <f t="shared" si="21"/>
        <v>#REF!</v>
      </c>
      <c r="H34" s="174" t="e">
        <f t="shared" si="21"/>
        <v>#REF!</v>
      </c>
      <c r="I34" s="174" t="e">
        <f t="shared" si="21"/>
        <v>#REF!</v>
      </c>
      <c r="J34" s="174" t="e">
        <f t="shared" si="21"/>
        <v>#REF!</v>
      </c>
      <c r="K34" s="174" t="e">
        <f t="shared" si="21"/>
        <v>#REF!</v>
      </c>
      <c r="L34" s="174" t="e">
        <f t="shared" si="21"/>
        <v>#REF!</v>
      </c>
      <c r="M34" s="174" t="e">
        <f t="shared" si="21"/>
        <v>#REF!</v>
      </c>
      <c r="N34" s="174" t="e">
        <f t="shared" si="21"/>
        <v>#REF!</v>
      </c>
      <c r="O34" s="174" t="e">
        <f t="shared" si="21"/>
        <v>#REF!</v>
      </c>
      <c r="P34" s="174" t="e">
        <f t="shared" si="21"/>
        <v>#REF!</v>
      </c>
      <c r="Q34" s="174" t="e">
        <f t="shared" si="21"/>
        <v>#REF!</v>
      </c>
      <c r="R34" s="570">
        <f t="shared" si="21"/>
        <v>856919.90000000014</v>
      </c>
      <c r="S34" s="174">
        <f>S35+S38+S76+S106</f>
        <v>116016.4</v>
      </c>
      <c r="T34" s="174">
        <f t="shared" si="21"/>
        <v>713369.9</v>
      </c>
      <c r="U34" s="174">
        <f t="shared" si="21"/>
        <v>712117.70000000007</v>
      </c>
      <c r="V34" s="174">
        <f t="shared" si="21"/>
        <v>0</v>
      </c>
      <c r="W34" s="174">
        <f t="shared" si="21"/>
        <v>101063.59999999998</v>
      </c>
      <c r="X34" s="174">
        <f t="shared" si="21"/>
        <v>50738.299999999996</v>
      </c>
      <c r="Y34" s="174">
        <f t="shared" si="21"/>
        <v>50325.299999999996</v>
      </c>
      <c r="Z34" s="174">
        <f t="shared" si="21"/>
        <v>0</v>
      </c>
      <c r="AA34" s="174">
        <f t="shared" si="21"/>
        <v>0</v>
      </c>
      <c r="AB34" s="174">
        <f t="shared" si="21"/>
        <v>0</v>
      </c>
      <c r="AC34" s="174">
        <f t="shared" si="21"/>
        <v>0</v>
      </c>
      <c r="AD34" s="174">
        <f t="shared" si="21"/>
        <v>0</v>
      </c>
      <c r="AE34" s="174">
        <f t="shared" si="21"/>
        <v>0</v>
      </c>
      <c r="AF34" s="174">
        <f t="shared" si="21"/>
        <v>0</v>
      </c>
      <c r="AG34" s="174">
        <f t="shared" si="21"/>
        <v>0</v>
      </c>
      <c r="AH34" s="174">
        <f t="shared" si="21"/>
        <v>0</v>
      </c>
      <c r="AI34" s="174">
        <f t="shared" si="21"/>
        <v>0</v>
      </c>
      <c r="AJ34" s="174">
        <f t="shared" si="21"/>
        <v>50738.299999999996</v>
      </c>
      <c r="AK34" s="174">
        <f t="shared" si="21"/>
        <v>50325.299999999996</v>
      </c>
      <c r="AL34" s="174">
        <f t="shared" si="21"/>
        <v>0</v>
      </c>
      <c r="AM34" s="174">
        <f t="shared" si="21"/>
        <v>0</v>
      </c>
      <c r="AN34" s="174">
        <f t="shared" si="21"/>
        <v>0</v>
      </c>
      <c r="AO34" s="174">
        <f t="shared" si="21"/>
        <v>0</v>
      </c>
      <c r="AP34" s="174">
        <f t="shared" si="21"/>
        <v>0</v>
      </c>
      <c r="AQ34" s="174">
        <f t="shared" si="21"/>
        <v>0</v>
      </c>
      <c r="AR34" s="174">
        <f t="shared" si="21"/>
        <v>0</v>
      </c>
      <c r="AS34" s="174">
        <f t="shared" si="21"/>
        <v>0</v>
      </c>
      <c r="AT34" s="174">
        <f t="shared" si="21"/>
        <v>0</v>
      </c>
      <c r="AU34" s="174">
        <f t="shared" si="21"/>
        <v>0</v>
      </c>
      <c r="AV34" s="598">
        <f t="shared" si="21"/>
        <v>101063.59999999998</v>
      </c>
      <c r="AW34" s="174">
        <f t="shared" si="21"/>
        <v>0</v>
      </c>
      <c r="AX34" s="174">
        <f t="shared" ref="AX34" si="22">AX35+AX38+AX76+AX106</f>
        <v>0</v>
      </c>
      <c r="AY34" s="174">
        <f t="shared" si="21"/>
        <v>0</v>
      </c>
      <c r="AZ34" s="170"/>
      <c r="BA34" s="174"/>
      <c r="BB34" s="347"/>
      <c r="BC34" s="174"/>
      <c r="BD34" s="186"/>
      <c r="BE34" s="186"/>
      <c r="BG34" s="72"/>
      <c r="BH34" s="72"/>
      <c r="BS34" s="72"/>
    </row>
    <row r="35" spans="1:71" s="622" customFormat="1" ht="18.75" customHeight="1" x14ac:dyDescent="0.25">
      <c r="A35" s="8"/>
      <c r="B35" s="587" t="s">
        <v>111</v>
      </c>
      <c r="C35" s="588"/>
      <c r="D35" s="570">
        <f t="shared" ref="D35:AY35" si="23">D36+D37</f>
        <v>310018.5</v>
      </c>
      <c r="E35" s="570">
        <f t="shared" si="23"/>
        <v>310018.5</v>
      </c>
      <c r="F35" s="570">
        <f t="shared" si="23"/>
        <v>24543.200000000001</v>
      </c>
      <c r="G35" s="570">
        <f t="shared" si="23"/>
        <v>24543.200000000001</v>
      </c>
      <c r="H35" s="570">
        <f t="shared" si="23"/>
        <v>24543</v>
      </c>
      <c r="I35" s="570">
        <f t="shared" si="23"/>
        <v>49086.400000000001</v>
      </c>
      <c r="J35" s="570">
        <f t="shared" si="23"/>
        <v>0</v>
      </c>
      <c r="K35" s="570">
        <f t="shared" si="23"/>
        <v>24543</v>
      </c>
      <c r="L35" s="570">
        <f t="shared" si="23"/>
        <v>20667.900000000001</v>
      </c>
      <c r="M35" s="570">
        <f t="shared" si="23"/>
        <v>20667.900000000001</v>
      </c>
      <c r="N35" s="570">
        <f t="shared" si="23"/>
        <v>20667.900000000001</v>
      </c>
      <c r="O35" s="570">
        <f t="shared" si="23"/>
        <v>23251.4</v>
      </c>
      <c r="P35" s="570">
        <f t="shared" si="23"/>
        <v>23251.4</v>
      </c>
      <c r="Q35" s="570">
        <f t="shared" si="23"/>
        <v>23251.3</v>
      </c>
      <c r="R35" s="570">
        <f t="shared" si="23"/>
        <v>279016.59999999998</v>
      </c>
      <c r="S35" s="570">
        <f t="shared" ref="S35" si="24">S36+S37</f>
        <v>49086.400000000001</v>
      </c>
      <c r="T35" s="570">
        <f t="shared" si="23"/>
        <v>291651.5</v>
      </c>
      <c r="U35" s="570">
        <f t="shared" si="23"/>
        <v>291651.5</v>
      </c>
      <c r="V35" s="570">
        <f t="shared" si="23"/>
        <v>0</v>
      </c>
      <c r="W35" s="570">
        <f>W36+W37</f>
        <v>46178</v>
      </c>
      <c r="X35" s="570">
        <f t="shared" si="23"/>
        <v>23089</v>
      </c>
      <c r="Y35" s="570">
        <f t="shared" si="23"/>
        <v>23089</v>
      </c>
      <c r="Z35" s="570">
        <f t="shared" si="23"/>
        <v>0</v>
      </c>
      <c r="AA35" s="570">
        <f t="shared" si="23"/>
        <v>0</v>
      </c>
      <c r="AB35" s="570">
        <f t="shared" si="23"/>
        <v>0</v>
      </c>
      <c r="AC35" s="570">
        <f t="shared" si="23"/>
        <v>0</v>
      </c>
      <c r="AD35" s="570">
        <f t="shared" si="23"/>
        <v>0</v>
      </c>
      <c r="AE35" s="570">
        <f t="shared" si="23"/>
        <v>0</v>
      </c>
      <c r="AF35" s="570">
        <f t="shared" si="23"/>
        <v>0</v>
      </c>
      <c r="AG35" s="570">
        <f t="shared" si="23"/>
        <v>0</v>
      </c>
      <c r="AH35" s="570">
        <f t="shared" si="23"/>
        <v>0</v>
      </c>
      <c r="AI35" s="570">
        <f t="shared" si="23"/>
        <v>0</v>
      </c>
      <c r="AJ35" s="570">
        <f t="shared" si="23"/>
        <v>23089</v>
      </c>
      <c r="AK35" s="570">
        <f t="shared" si="23"/>
        <v>23089</v>
      </c>
      <c r="AL35" s="570">
        <f t="shared" si="23"/>
        <v>0</v>
      </c>
      <c r="AM35" s="570">
        <f t="shared" si="23"/>
        <v>0</v>
      </c>
      <c r="AN35" s="570">
        <f t="shared" si="23"/>
        <v>0</v>
      </c>
      <c r="AO35" s="570">
        <f t="shared" si="23"/>
        <v>0</v>
      </c>
      <c r="AP35" s="570">
        <f t="shared" si="23"/>
        <v>0</v>
      </c>
      <c r="AQ35" s="570">
        <f t="shared" si="23"/>
        <v>0</v>
      </c>
      <c r="AR35" s="570">
        <f t="shared" si="23"/>
        <v>0</v>
      </c>
      <c r="AS35" s="570">
        <f t="shared" si="23"/>
        <v>0</v>
      </c>
      <c r="AT35" s="570">
        <f t="shared" si="23"/>
        <v>0</v>
      </c>
      <c r="AU35" s="570">
        <f t="shared" si="23"/>
        <v>0</v>
      </c>
      <c r="AV35" s="598">
        <f t="shared" si="23"/>
        <v>46178</v>
      </c>
      <c r="AW35" s="570">
        <f t="shared" si="23"/>
        <v>0</v>
      </c>
      <c r="AX35" s="570">
        <f t="shared" ref="AX35" si="25">AX36+AX37</f>
        <v>0</v>
      </c>
      <c r="AY35" s="570">
        <f t="shared" si="23"/>
        <v>0</v>
      </c>
      <c r="AZ35" s="169"/>
      <c r="BA35" s="106"/>
      <c r="BB35" s="187"/>
      <c r="BC35" s="187"/>
      <c r="BD35" s="187"/>
      <c r="BE35" s="187"/>
      <c r="BG35" s="72"/>
      <c r="BH35" s="72"/>
    </row>
    <row r="36" spans="1:71" s="622" customFormat="1" ht="30" outlineLevel="7" x14ac:dyDescent="0.25">
      <c r="A36" s="8" t="s">
        <v>31</v>
      </c>
      <c r="B36" s="9" t="s">
        <v>113</v>
      </c>
      <c r="C36" s="10"/>
      <c r="D36" s="335">
        <v>261984.8</v>
      </c>
      <c r="E36" s="335">
        <v>261984.8</v>
      </c>
      <c r="F36" s="176">
        <v>20740.5</v>
      </c>
      <c r="G36" s="176">
        <v>20740.5</v>
      </c>
      <c r="H36" s="176">
        <v>20740.400000000001</v>
      </c>
      <c r="I36" s="176">
        <f>20740.5*2</f>
        <v>41481</v>
      </c>
      <c r="J36" s="176"/>
      <c r="K36" s="176">
        <v>20740.400000000001</v>
      </c>
      <c r="L36" s="176">
        <v>17465.7</v>
      </c>
      <c r="M36" s="176">
        <v>17465.7</v>
      </c>
      <c r="N36" s="176">
        <v>17465.5</v>
      </c>
      <c r="O36" s="176">
        <v>19648.900000000001</v>
      </c>
      <c r="P36" s="176">
        <v>19648.900000000001</v>
      </c>
      <c r="Q36" s="176">
        <v>19648.8</v>
      </c>
      <c r="R36" s="586">
        <f>SUM(F36:Q36)</f>
        <v>235786.3</v>
      </c>
      <c r="S36" s="335">
        <f t="shared" si="1"/>
        <v>41481</v>
      </c>
      <c r="T36" s="337">
        <v>260156.79999999999</v>
      </c>
      <c r="U36" s="337">
        <f t="shared" si="2"/>
        <v>260156.79999999999</v>
      </c>
      <c r="V36" s="337"/>
      <c r="W36" s="337">
        <f>AV36</f>
        <v>41191.4</v>
      </c>
      <c r="X36" s="571">
        <v>20595.7</v>
      </c>
      <c r="Y36" s="335">
        <f>AK36</f>
        <v>20595.7</v>
      </c>
      <c r="Z36" s="335"/>
      <c r="AA36" s="335"/>
      <c r="AB36" s="335"/>
      <c r="AC36" s="335"/>
      <c r="AD36" s="335"/>
      <c r="AE36" s="335"/>
      <c r="AF36" s="335"/>
      <c r="AG36" s="335"/>
      <c r="AH36" s="335"/>
      <c r="AI36" s="335"/>
      <c r="AJ36" s="571">
        <v>20595.7</v>
      </c>
      <c r="AK36" s="571">
        <v>20595.7</v>
      </c>
      <c r="AL36" s="566"/>
      <c r="AM36" s="566"/>
      <c r="AN36" s="566"/>
      <c r="AO36" s="566"/>
      <c r="AP36" s="566"/>
      <c r="AQ36" s="566"/>
      <c r="AR36" s="566"/>
      <c r="AS36" s="566"/>
      <c r="AT36" s="566"/>
      <c r="AU36" s="566"/>
      <c r="AV36" s="602">
        <f t="shared" si="5"/>
        <v>41191.4</v>
      </c>
      <c r="AW36" s="337"/>
      <c r="AX36" s="337"/>
      <c r="AY36" s="337"/>
      <c r="AZ36" s="170"/>
      <c r="BA36" s="102"/>
      <c r="BB36" s="186"/>
      <c r="BC36" s="186"/>
      <c r="BD36" s="186"/>
      <c r="BE36" s="186"/>
      <c r="BG36" s="72"/>
      <c r="BI36" s="72"/>
    </row>
    <row r="37" spans="1:71" s="622" customFormat="1" ht="45" outlineLevel="7" x14ac:dyDescent="0.25">
      <c r="A37" s="8" t="s">
        <v>32</v>
      </c>
      <c r="B37" s="9" t="s">
        <v>114</v>
      </c>
      <c r="C37" s="10"/>
      <c r="D37" s="335">
        <v>48033.7</v>
      </c>
      <c r="E37" s="335">
        <v>48033.7</v>
      </c>
      <c r="F37" s="176">
        <v>3802.7</v>
      </c>
      <c r="G37" s="176">
        <v>3802.7</v>
      </c>
      <c r="H37" s="176">
        <v>3802.6</v>
      </c>
      <c r="I37" s="176">
        <f>3802.7+3802.7</f>
        <v>7605.4</v>
      </c>
      <c r="J37" s="176"/>
      <c r="K37" s="176">
        <v>3802.6</v>
      </c>
      <c r="L37" s="176">
        <v>3202.2</v>
      </c>
      <c r="M37" s="176">
        <v>3202.2</v>
      </c>
      <c r="N37" s="176">
        <v>3202.4</v>
      </c>
      <c r="O37" s="176">
        <v>3602.5</v>
      </c>
      <c r="P37" s="176">
        <v>3602.5</v>
      </c>
      <c r="Q37" s="176">
        <v>3602.5</v>
      </c>
      <c r="R37" s="586">
        <f>SUM(F37:Q37)</f>
        <v>43230.3</v>
      </c>
      <c r="S37" s="335">
        <f t="shared" si="1"/>
        <v>7605.4</v>
      </c>
      <c r="T37" s="337">
        <v>31494.7</v>
      </c>
      <c r="U37" s="337">
        <f t="shared" si="2"/>
        <v>31494.7</v>
      </c>
      <c r="V37" s="337"/>
      <c r="W37" s="337">
        <f>AV37</f>
        <v>4986.6000000000004</v>
      </c>
      <c r="X37" s="571">
        <v>2493.3000000000002</v>
      </c>
      <c r="Y37" s="335">
        <f>AK37</f>
        <v>2493.3000000000002</v>
      </c>
      <c r="Z37" s="335"/>
      <c r="AA37" s="335"/>
      <c r="AB37" s="335"/>
      <c r="AC37" s="335"/>
      <c r="AD37" s="335"/>
      <c r="AE37" s="335"/>
      <c r="AF37" s="335"/>
      <c r="AG37" s="335"/>
      <c r="AH37" s="335"/>
      <c r="AI37" s="335"/>
      <c r="AJ37" s="571">
        <v>2493.3000000000002</v>
      </c>
      <c r="AK37" s="571">
        <v>2493.3000000000002</v>
      </c>
      <c r="AL37" s="566"/>
      <c r="AM37" s="566"/>
      <c r="AN37" s="566"/>
      <c r="AO37" s="566"/>
      <c r="AP37" s="566"/>
      <c r="AQ37" s="566"/>
      <c r="AR37" s="566"/>
      <c r="AS37" s="566"/>
      <c r="AT37" s="566"/>
      <c r="AU37" s="566"/>
      <c r="AV37" s="602">
        <f t="shared" si="5"/>
        <v>4986.6000000000004</v>
      </c>
      <c r="AW37" s="337"/>
      <c r="AX37" s="337"/>
      <c r="AY37" s="337"/>
      <c r="AZ37" s="170"/>
      <c r="BA37" s="102"/>
      <c r="BB37" s="186"/>
      <c r="BC37" s="186"/>
      <c r="BD37" s="186"/>
      <c r="BE37" s="186"/>
    </row>
    <row r="38" spans="1:71" s="622" customFormat="1" ht="23.25" outlineLevel="2" x14ac:dyDescent="0.25">
      <c r="A38" s="8" t="s">
        <v>33</v>
      </c>
      <c r="B38" s="587" t="s">
        <v>112</v>
      </c>
      <c r="C38" s="588"/>
      <c r="D38" s="570">
        <f>SUM(D42:D75)+D39</f>
        <v>43847</v>
      </c>
      <c r="E38" s="570">
        <f t="shared" ref="E38:R38" si="26">SUM(E42:E75)+E39+E40+E41</f>
        <v>132413.1</v>
      </c>
      <c r="F38" s="570">
        <f t="shared" si="26"/>
        <v>205.9</v>
      </c>
      <c r="G38" s="570">
        <f t="shared" si="26"/>
        <v>933.9</v>
      </c>
      <c r="H38" s="570">
        <f t="shared" si="26"/>
        <v>2780.7999999999997</v>
      </c>
      <c r="I38" s="570">
        <f t="shared" si="26"/>
        <v>8283.5</v>
      </c>
      <c r="J38" s="570">
        <f t="shared" si="26"/>
        <v>10927.900000000001</v>
      </c>
      <c r="K38" s="570">
        <f t="shared" si="26"/>
        <v>8873.8000000000011</v>
      </c>
      <c r="L38" s="570">
        <f t="shared" si="26"/>
        <v>13609.3</v>
      </c>
      <c r="M38" s="570">
        <f t="shared" si="26"/>
        <v>10270.700000000001</v>
      </c>
      <c r="N38" s="570">
        <f t="shared" si="26"/>
        <v>18748.3</v>
      </c>
      <c r="O38" s="570">
        <f t="shared" si="26"/>
        <v>21964.1</v>
      </c>
      <c r="P38" s="570">
        <f t="shared" si="26"/>
        <v>4121.1000000000004</v>
      </c>
      <c r="Q38" s="570">
        <f t="shared" si="26"/>
        <v>25519.1</v>
      </c>
      <c r="R38" s="570">
        <f t="shared" si="26"/>
        <v>126238.39999999999</v>
      </c>
      <c r="S38" s="570">
        <f t="shared" ref="S38:AY38" si="27">SUM(S42:S75)+S39+S40+S41</f>
        <v>1139.8</v>
      </c>
      <c r="T38" s="570">
        <f t="shared" si="27"/>
        <v>38096.099999999991</v>
      </c>
      <c r="U38" s="570">
        <f t="shared" si="27"/>
        <v>35927.9</v>
      </c>
      <c r="V38" s="570">
        <f t="shared" si="27"/>
        <v>0</v>
      </c>
      <c r="W38" s="570">
        <f t="shared" si="27"/>
        <v>426</v>
      </c>
      <c r="X38" s="570">
        <f t="shared" si="27"/>
        <v>213</v>
      </c>
      <c r="Y38" s="570">
        <f t="shared" si="27"/>
        <v>213</v>
      </c>
      <c r="Z38" s="570">
        <f t="shared" si="27"/>
        <v>0</v>
      </c>
      <c r="AA38" s="570">
        <f t="shared" si="27"/>
        <v>0</v>
      </c>
      <c r="AB38" s="570">
        <f t="shared" si="27"/>
        <v>0</v>
      </c>
      <c r="AC38" s="570">
        <f t="shared" si="27"/>
        <v>0</v>
      </c>
      <c r="AD38" s="570">
        <f t="shared" si="27"/>
        <v>0</v>
      </c>
      <c r="AE38" s="570">
        <f t="shared" si="27"/>
        <v>0</v>
      </c>
      <c r="AF38" s="570">
        <f t="shared" si="27"/>
        <v>0</v>
      </c>
      <c r="AG38" s="570">
        <f t="shared" si="27"/>
        <v>0</v>
      </c>
      <c r="AH38" s="570">
        <f t="shared" si="27"/>
        <v>0</v>
      </c>
      <c r="AI38" s="570">
        <f t="shared" si="27"/>
        <v>0</v>
      </c>
      <c r="AJ38" s="570">
        <f t="shared" si="27"/>
        <v>213</v>
      </c>
      <c r="AK38" s="570">
        <f t="shared" si="27"/>
        <v>213</v>
      </c>
      <c r="AL38" s="570">
        <f t="shared" si="27"/>
        <v>0</v>
      </c>
      <c r="AM38" s="570">
        <f t="shared" si="27"/>
        <v>0</v>
      </c>
      <c r="AN38" s="570">
        <f t="shared" si="27"/>
        <v>0</v>
      </c>
      <c r="AO38" s="570">
        <f t="shared" si="27"/>
        <v>0</v>
      </c>
      <c r="AP38" s="570">
        <f t="shared" si="27"/>
        <v>0</v>
      </c>
      <c r="AQ38" s="570">
        <f t="shared" si="27"/>
        <v>0</v>
      </c>
      <c r="AR38" s="570">
        <f t="shared" si="27"/>
        <v>0</v>
      </c>
      <c r="AS38" s="570">
        <f t="shared" si="27"/>
        <v>0</v>
      </c>
      <c r="AT38" s="570">
        <f t="shared" si="27"/>
        <v>0</v>
      </c>
      <c r="AU38" s="570">
        <f t="shared" si="27"/>
        <v>0</v>
      </c>
      <c r="AV38" s="598">
        <f t="shared" si="27"/>
        <v>426</v>
      </c>
      <c r="AW38" s="570">
        <f t="shared" si="27"/>
        <v>0</v>
      </c>
      <c r="AX38" s="570">
        <f t="shared" ref="AX38" si="28">SUM(AX42:AX75)+AX39+AX40+AX41</f>
        <v>0</v>
      </c>
      <c r="AY38" s="570">
        <f t="shared" si="27"/>
        <v>0</v>
      </c>
      <c r="AZ38" s="169"/>
      <c r="BA38" s="106"/>
      <c r="BB38" s="187"/>
      <c r="BC38" s="106"/>
      <c r="BD38" s="187"/>
      <c r="BE38" s="187"/>
      <c r="BG38" s="72"/>
    </row>
    <row r="39" spans="1:71" s="19" customFormat="1" ht="45" hidden="1" outlineLevel="2" x14ac:dyDescent="0.25">
      <c r="A39" s="18"/>
      <c r="B39" s="9" t="s">
        <v>250</v>
      </c>
      <c r="C39" s="20" t="s">
        <v>249</v>
      </c>
      <c r="D39" s="335">
        <v>0</v>
      </c>
      <c r="E39" s="170">
        <v>0</v>
      </c>
      <c r="F39" s="176"/>
      <c r="G39" s="174"/>
      <c r="H39" s="176"/>
      <c r="I39" s="176"/>
      <c r="J39" s="176"/>
      <c r="K39" s="176"/>
      <c r="L39" s="174"/>
      <c r="M39" s="176"/>
      <c r="N39" s="176"/>
      <c r="O39" s="176"/>
      <c r="P39" s="176"/>
      <c r="Q39" s="176"/>
      <c r="R39" s="586">
        <f t="shared" ref="R39:R75" si="29">SUM(F39:Q39)</f>
        <v>0</v>
      </c>
      <c r="S39" s="335">
        <f t="shared" si="1"/>
        <v>0</v>
      </c>
      <c r="T39" s="337"/>
      <c r="U39" s="337">
        <f t="shared" si="2"/>
        <v>0</v>
      </c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566"/>
      <c r="AK39" s="566"/>
      <c r="AL39" s="566"/>
      <c r="AM39" s="566"/>
      <c r="AN39" s="566"/>
      <c r="AO39" s="566"/>
      <c r="AP39" s="566"/>
      <c r="AQ39" s="566"/>
      <c r="AR39" s="566"/>
      <c r="AS39" s="566"/>
      <c r="AT39" s="566"/>
      <c r="AU39" s="566"/>
      <c r="AV39" s="602">
        <f t="shared" si="5"/>
        <v>0</v>
      </c>
      <c r="AW39" s="337"/>
      <c r="AX39" s="337"/>
      <c r="AY39" s="337"/>
      <c r="AZ39" s="99"/>
      <c r="BA39" s="102"/>
      <c r="BB39" s="186"/>
      <c r="BC39" s="186"/>
      <c r="BD39" s="186"/>
      <c r="BE39" s="186"/>
    </row>
    <row r="40" spans="1:71" s="19" customFormat="1" ht="60" hidden="1" outlineLevel="2" x14ac:dyDescent="0.25">
      <c r="A40" s="18"/>
      <c r="B40" s="9" t="s">
        <v>649</v>
      </c>
      <c r="C40" s="20" t="s">
        <v>93</v>
      </c>
      <c r="D40" s="335"/>
      <c r="E40" s="170">
        <v>444.8</v>
      </c>
      <c r="F40" s="176"/>
      <c r="G40" s="174"/>
      <c r="H40" s="176"/>
      <c r="I40" s="176"/>
      <c r="J40" s="176"/>
      <c r="K40" s="176"/>
      <c r="L40" s="174"/>
      <c r="M40" s="176"/>
      <c r="N40" s="176"/>
      <c r="O40" s="176"/>
      <c r="P40" s="176"/>
      <c r="Q40" s="176">
        <v>444.8</v>
      </c>
      <c r="R40" s="586">
        <f t="shared" si="29"/>
        <v>444.8</v>
      </c>
      <c r="S40" s="335">
        <f t="shared" si="1"/>
        <v>0</v>
      </c>
      <c r="T40" s="337"/>
      <c r="U40" s="337">
        <f t="shared" si="2"/>
        <v>0</v>
      </c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566"/>
      <c r="AK40" s="566"/>
      <c r="AL40" s="566"/>
      <c r="AM40" s="566"/>
      <c r="AN40" s="566"/>
      <c r="AO40" s="566"/>
      <c r="AP40" s="566"/>
      <c r="AQ40" s="566"/>
      <c r="AR40" s="566"/>
      <c r="AS40" s="566"/>
      <c r="AT40" s="566"/>
      <c r="AU40" s="566"/>
      <c r="AV40" s="602">
        <f t="shared" si="5"/>
        <v>0</v>
      </c>
      <c r="AW40" s="337"/>
      <c r="AX40" s="337"/>
      <c r="AY40" s="337"/>
      <c r="AZ40" s="99"/>
      <c r="BA40" s="102"/>
      <c r="BB40" s="186"/>
      <c r="BC40" s="186"/>
      <c r="BD40" s="186"/>
      <c r="BE40" s="186"/>
    </row>
    <row r="41" spans="1:71" s="19" customFormat="1" ht="60" hidden="1" outlineLevel="2" x14ac:dyDescent="0.25">
      <c r="A41" s="18"/>
      <c r="B41" s="9" t="s">
        <v>650</v>
      </c>
      <c r="C41" s="20" t="s">
        <v>201</v>
      </c>
      <c r="D41" s="335"/>
      <c r="E41" s="170">
        <v>148.19999999999999</v>
      </c>
      <c r="F41" s="176"/>
      <c r="G41" s="174"/>
      <c r="H41" s="176"/>
      <c r="I41" s="176"/>
      <c r="J41" s="176"/>
      <c r="K41" s="176"/>
      <c r="L41" s="174"/>
      <c r="M41" s="176"/>
      <c r="N41" s="176"/>
      <c r="O41" s="176"/>
      <c r="P41" s="176"/>
      <c r="Q41" s="176">
        <v>148.19999999999999</v>
      </c>
      <c r="R41" s="586">
        <f t="shared" si="29"/>
        <v>148.19999999999999</v>
      </c>
      <c r="S41" s="335">
        <f t="shared" si="1"/>
        <v>0</v>
      </c>
      <c r="T41" s="337"/>
      <c r="U41" s="337">
        <f t="shared" si="2"/>
        <v>0</v>
      </c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566"/>
      <c r="AK41" s="566"/>
      <c r="AL41" s="566"/>
      <c r="AM41" s="566"/>
      <c r="AN41" s="566"/>
      <c r="AO41" s="566"/>
      <c r="AP41" s="566"/>
      <c r="AQ41" s="566"/>
      <c r="AR41" s="566"/>
      <c r="AS41" s="566"/>
      <c r="AT41" s="566"/>
      <c r="AU41" s="566"/>
      <c r="AV41" s="602">
        <f t="shared" si="5"/>
        <v>0</v>
      </c>
      <c r="AW41" s="337"/>
      <c r="AX41" s="337"/>
      <c r="AY41" s="337"/>
      <c r="AZ41" s="99"/>
      <c r="BA41" s="102"/>
      <c r="BB41" s="186"/>
      <c r="BC41" s="186"/>
      <c r="BD41" s="186"/>
      <c r="BE41" s="186"/>
    </row>
    <row r="42" spans="1:71" s="19" customFormat="1" ht="34.5" hidden="1" customHeight="1" outlineLevel="2" x14ac:dyDescent="0.25">
      <c r="A42" s="18"/>
      <c r="B42" s="9" t="s">
        <v>287</v>
      </c>
      <c r="C42" s="20" t="s">
        <v>272</v>
      </c>
      <c r="D42" s="335">
        <v>0</v>
      </c>
      <c r="E42" s="170">
        <v>11030.2</v>
      </c>
      <c r="F42" s="176"/>
      <c r="G42" s="174"/>
      <c r="H42" s="176"/>
      <c r="I42" s="176"/>
      <c r="J42" s="176"/>
      <c r="K42" s="176"/>
      <c r="L42" s="174"/>
      <c r="M42" s="176"/>
      <c r="N42" s="176">
        <v>7851.4</v>
      </c>
      <c r="O42" s="176">
        <v>2675.2</v>
      </c>
      <c r="P42" s="176"/>
      <c r="Q42" s="176">
        <v>503.2</v>
      </c>
      <c r="R42" s="586">
        <f t="shared" si="29"/>
        <v>11029.8</v>
      </c>
      <c r="S42" s="335">
        <f t="shared" si="1"/>
        <v>0</v>
      </c>
      <c r="T42" s="337"/>
      <c r="U42" s="337">
        <f t="shared" si="2"/>
        <v>0</v>
      </c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566"/>
      <c r="AK42" s="566"/>
      <c r="AL42" s="566"/>
      <c r="AM42" s="566"/>
      <c r="AN42" s="566"/>
      <c r="AO42" s="566"/>
      <c r="AP42" s="566"/>
      <c r="AQ42" s="566"/>
      <c r="AR42" s="566"/>
      <c r="AS42" s="566"/>
      <c r="AT42" s="566"/>
      <c r="AU42" s="566"/>
      <c r="AV42" s="602">
        <f t="shared" si="5"/>
        <v>0</v>
      </c>
      <c r="AW42" s="337"/>
      <c r="AX42" s="337"/>
      <c r="AY42" s="337"/>
      <c r="AZ42" s="99"/>
      <c r="BA42" s="102"/>
      <c r="BB42" s="186"/>
      <c r="BC42" s="186"/>
      <c r="BD42" s="186"/>
      <c r="BE42" s="186"/>
    </row>
    <row r="43" spans="1:71" s="19" customFormat="1" ht="75" hidden="1" customHeight="1" outlineLevel="2" x14ac:dyDescent="0.25">
      <c r="A43" s="18"/>
      <c r="B43" s="21" t="s">
        <v>445</v>
      </c>
      <c r="C43" s="20" t="s">
        <v>137</v>
      </c>
      <c r="D43" s="335">
        <v>0</v>
      </c>
      <c r="E43" s="170">
        <v>2166.1999999999998</v>
      </c>
      <c r="F43" s="176"/>
      <c r="G43" s="174"/>
      <c r="H43" s="176"/>
      <c r="I43" s="176"/>
      <c r="J43" s="176"/>
      <c r="K43" s="176"/>
      <c r="L43" s="174"/>
      <c r="M43" s="176"/>
      <c r="N43" s="176">
        <v>991.5</v>
      </c>
      <c r="O43" s="176">
        <v>1174.7</v>
      </c>
      <c r="P43" s="176"/>
      <c r="Q43" s="176"/>
      <c r="R43" s="586">
        <f t="shared" si="29"/>
        <v>2166.1999999999998</v>
      </c>
      <c r="S43" s="335">
        <f t="shared" si="1"/>
        <v>0</v>
      </c>
      <c r="T43" s="337"/>
      <c r="U43" s="337">
        <f t="shared" si="2"/>
        <v>0</v>
      </c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566"/>
      <c r="AK43" s="566"/>
      <c r="AL43" s="566"/>
      <c r="AM43" s="566"/>
      <c r="AN43" s="566"/>
      <c r="AO43" s="566"/>
      <c r="AP43" s="566"/>
      <c r="AQ43" s="566"/>
      <c r="AR43" s="566"/>
      <c r="AS43" s="566"/>
      <c r="AT43" s="566"/>
      <c r="AU43" s="566"/>
      <c r="AV43" s="602">
        <f t="shared" si="5"/>
        <v>0</v>
      </c>
      <c r="AW43" s="337"/>
      <c r="AX43" s="337"/>
      <c r="AY43" s="337"/>
      <c r="AZ43" s="99"/>
      <c r="BA43" s="102"/>
      <c r="BB43" s="186"/>
      <c r="BC43" s="186"/>
      <c r="BD43" s="186"/>
      <c r="BE43" s="186"/>
    </row>
    <row r="44" spans="1:71" s="19" customFormat="1" ht="62.25" hidden="1" customHeight="1" outlineLevel="2" x14ac:dyDescent="0.25">
      <c r="A44" s="18"/>
      <c r="B44" s="21" t="s">
        <v>280</v>
      </c>
      <c r="C44" s="20" t="s">
        <v>34</v>
      </c>
      <c r="D44" s="335">
        <v>1496.7</v>
      </c>
      <c r="E44" s="170">
        <v>2566.5</v>
      </c>
      <c r="F44" s="176"/>
      <c r="G44" s="174"/>
      <c r="H44" s="176"/>
      <c r="I44" s="176"/>
      <c r="J44" s="176">
        <v>3072.5</v>
      </c>
      <c r="K44" s="176">
        <v>1551.9</v>
      </c>
      <c r="L44" s="174"/>
      <c r="M44" s="176"/>
      <c r="N44" s="176">
        <f>-2057.8+1174.7</f>
        <v>-883.10000000000014</v>
      </c>
      <c r="O44" s="176">
        <v>-1174.8</v>
      </c>
      <c r="P44" s="176"/>
      <c r="Q44" s="176"/>
      <c r="R44" s="586">
        <f t="shared" si="29"/>
        <v>2566.4999999999991</v>
      </c>
      <c r="S44" s="335">
        <f t="shared" si="1"/>
        <v>0</v>
      </c>
      <c r="T44" s="337"/>
      <c r="U44" s="337">
        <f t="shared" si="2"/>
        <v>0</v>
      </c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566"/>
      <c r="AK44" s="566"/>
      <c r="AL44" s="566"/>
      <c r="AM44" s="566"/>
      <c r="AN44" s="566"/>
      <c r="AO44" s="566"/>
      <c r="AP44" s="566"/>
      <c r="AQ44" s="566"/>
      <c r="AR44" s="566"/>
      <c r="AS44" s="566"/>
      <c r="AT44" s="566"/>
      <c r="AU44" s="566"/>
      <c r="AV44" s="602">
        <f t="shared" si="5"/>
        <v>0</v>
      </c>
      <c r="AW44" s="337"/>
      <c r="AX44" s="337"/>
      <c r="AY44" s="337"/>
      <c r="AZ44" s="99"/>
      <c r="BA44" s="102"/>
      <c r="BB44" s="186"/>
      <c r="BC44" s="186"/>
      <c r="BD44" s="186"/>
      <c r="BE44" s="186"/>
    </row>
    <row r="45" spans="1:71" s="19" customFormat="1" ht="59.25" hidden="1" customHeight="1" outlineLevel="2" x14ac:dyDescent="0.25">
      <c r="A45" s="18"/>
      <c r="B45" s="9" t="s">
        <v>579</v>
      </c>
      <c r="C45" s="20" t="s">
        <v>580</v>
      </c>
      <c r="D45" s="335"/>
      <c r="E45" s="170">
        <v>3504</v>
      </c>
      <c r="F45" s="176"/>
      <c r="G45" s="174"/>
      <c r="H45" s="176"/>
      <c r="I45" s="176"/>
      <c r="J45" s="176"/>
      <c r="K45" s="176"/>
      <c r="L45" s="174"/>
      <c r="M45" s="176"/>
      <c r="N45" s="176"/>
      <c r="O45" s="176">
        <v>3222.9</v>
      </c>
      <c r="P45" s="176"/>
      <c r="Q45" s="176"/>
      <c r="R45" s="586">
        <f t="shared" si="29"/>
        <v>3222.9</v>
      </c>
      <c r="S45" s="335">
        <f t="shared" si="1"/>
        <v>0</v>
      </c>
      <c r="T45" s="337"/>
      <c r="U45" s="337">
        <f t="shared" si="2"/>
        <v>0</v>
      </c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566"/>
      <c r="AK45" s="566"/>
      <c r="AL45" s="566"/>
      <c r="AM45" s="566"/>
      <c r="AN45" s="566"/>
      <c r="AO45" s="566"/>
      <c r="AP45" s="566"/>
      <c r="AQ45" s="566"/>
      <c r="AR45" s="566"/>
      <c r="AS45" s="566"/>
      <c r="AT45" s="566"/>
      <c r="AU45" s="566"/>
      <c r="AV45" s="602">
        <f t="shared" si="5"/>
        <v>0</v>
      </c>
      <c r="AW45" s="337"/>
      <c r="AX45" s="337"/>
      <c r="AY45" s="337"/>
      <c r="AZ45" s="99"/>
      <c r="BA45" s="102"/>
      <c r="BB45" s="186"/>
      <c r="BC45" s="186"/>
      <c r="BD45" s="186"/>
      <c r="BE45" s="186"/>
    </row>
    <row r="46" spans="1:71" s="19" customFormat="1" ht="35.25" hidden="1" customHeight="1" outlineLevel="2" x14ac:dyDescent="0.25">
      <c r="A46" s="18"/>
      <c r="B46" s="9" t="s">
        <v>575</v>
      </c>
      <c r="C46" s="20" t="s">
        <v>465</v>
      </c>
      <c r="D46" s="335">
        <v>0</v>
      </c>
      <c r="E46" s="170">
        <v>867</v>
      </c>
      <c r="F46" s="176"/>
      <c r="G46" s="174"/>
      <c r="H46" s="176"/>
      <c r="I46" s="176"/>
      <c r="J46" s="176"/>
      <c r="K46" s="176"/>
      <c r="L46" s="174"/>
      <c r="M46" s="176"/>
      <c r="N46" s="176"/>
      <c r="O46" s="176">
        <v>231</v>
      </c>
      <c r="P46" s="176">
        <v>144.9</v>
      </c>
      <c r="Q46" s="176">
        <v>237.5</v>
      </c>
      <c r="R46" s="586">
        <f t="shared" si="29"/>
        <v>613.4</v>
      </c>
      <c r="S46" s="335">
        <f t="shared" si="1"/>
        <v>0</v>
      </c>
      <c r="T46" s="337"/>
      <c r="U46" s="337">
        <f t="shared" si="2"/>
        <v>0</v>
      </c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566"/>
      <c r="AK46" s="566"/>
      <c r="AL46" s="566"/>
      <c r="AM46" s="566"/>
      <c r="AN46" s="566"/>
      <c r="AO46" s="566"/>
      <c r="AP46" s="566"/>
      <c r="AQ46" s="566"/>
      <c r="AR46" s="566"/>
      <c r="AS46" s="566"/>
      <c r="AT46" s="566"/>
      <c r="AU46" s="566"/>
      <c r="AV46" s="602">
        <f t="shared" si="5"/>
        <v>0</v>
      </c>
      <c r="AW46" s="337"/>
      <c r="AX46" s="337"/>
      <c r="AY46" s="337"/>
      <c r="AZ46" s="99"/>
      <c r="BA46" s="102"/>
      <c r="BB46" s="186"/>
      <c r="BC46" s="186"/>
      <c r="BD46" s="186"/>
      <c r="BE46" s="186"/>
    </row>
    <row r="47" spans="1:71" s="622" customFormat="1" ht="45" outlineLevel="7" x14ac:dyDescent="0.25">
      <c r="A47" s="8" t="s">
        <v>117</v>
      </c>
      <c r="B47" s="9" t="s">
        <v>139</v>
      </c>
      <c r="C47" s="10" t="s">
        <v>118</v>
      </c>
      <c r="D47" s="335">
        <v>0</v>
      </c>
      <c r="E47" s="335">
        <v>5505.8</v>
      </c>
      <c r="F47" s="176"/>
      <c r="G47" s="176">
        <v>546</v>
      </c>
      <c r="H47" s="176">
        <v>546</v>
      </c>
      <c r="I47" s="176">
        <v>1238.0999999999999</v>
      </c>
      <c r="J47" s="176">
        <v>486</v>
      </c>
      <c r="K47" s="176"/>
      <c r="L47" s="174"/>
      <c r="M47" s="176">
        <v>195</v>
      </c>
      <c r="N47" s="176">
        <v>525</v>
      </c>
      <c r="O47" s="176">
        <v>585</v>
      </c>
      <c r="P47" s="176">
        <v>713.1</v>
      </c>
      <c r="Q47" s="176">
        <v>671.6</v>
      </c>
      <c r="R47" s="586">
        <f t="shared" si="29"/>
        <v>5505.8000000000011</v>
      </c>
      <c r="S47" s="335">
        <f t="shared" si="1"/>
        <v>546</v>
      </c>
      <c r="T47" s="337">
        <v>5676.3</v>
      </c>
      <c r="U47" s="337">
        <f t="shared" si="2"/>
        <v>5676.3</v>
      </c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566"/>
      <c r="AK47" s="566"/>
      <c r="AL47" s="566"/>
      <c r="AM47" s="566"/>
      <c r="AN47" s="566"/>
      <c r="AO47" s="566"/>
      <c r="AP47" s="566"/>
      <c r="AQ47" s="566"/>
      <c r="AR47" s="566"/>
      <c r="AS47" s="566"/>
      <c r="AT47" s="566"/>
      <c r="AU47" s="566"/>
      <c r="AV47" s="602">
        <f t="shared" si="5"/>
        <v>0</v>
      </c>
      <c r="AW47" s="337"/>
      <c r="AX47" s="337"/>
      <c r="AY47" s="337"/>
      <c r="AZ47" s="99"/>
      <c r="BA47" s="102"/>
      <c r="BB47" s="186"/>
      <c r="BC47" s="186"/>
      <c r="BD47" s="186"/>
      <c r="BE47" s="186"/>
    </row>
    <row r="48" spans="1:71" s="622" customFormat="1" ht="45" outlineLevel="7" x14ac:dyDescent="0.25">
      <c r="A48" s="8" t="s">
        <v>36</v>
      </c>
      <c r="B48" s="9" t="s">
        <v>115</v>
      </c>
      <c r="C48" s="10" t="s">
        <v>37</v>
      </c>
      <c r="D48" s="335">
        <v>1908.8</v>
      </c>
      <c r="E48" s="99">
        <v>1835.2</v>
      </c>
      <c r="F48" s="176"/>
      <c r="G48" s="176">
        <v>182</v>
      </c>
      <c r="H48" s="176">
        <v>182</v>
      </c>
      <c r="I48" s="176">
        <v>412.7</v>
      </c>
      <c r="J48" s="176">
        <v>162</v>
      </c>
      <c r="K48" s="176"/>
      <c r="L48" s="174"/>
      <c r="M48" s="176">
        <v>65</v>
      </c>
      <c r="N48" s="176">
        <v>175</v>
      </c>
      <c r="O48" s="176">
        <v>195</v>
      </c>
      <c r="P48" s="176">
        <v>237.7</v>
      </c>
      <c r="Q48" s="176">
        <v>223.9</v>
      </c>
      <c r="R48" s="586">
        <f t="shared" si="29"/>
        <v>1835.3000000000002</v>
      </c>
      <c r="S48" s="335">
        <f t="shared" si="1"/>
        <v>182</v>
      </c>
      <c r="T48" s="337">
        <v>2099.5</v>
      </c>
      <c r="U48" s="337">
        <v>2099.5</v>
      </c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566"/>
      <c r="AK48" s="566"/>
      <c r="AL48" s="566"/>
      <c r="AM48" s="566"/>
      <c r="AN48" s="566"/>
      <c r="AO48" s="566"/>
      <c r="AP48" s="566"/>
      <c r="AQ48" s="566"/>
      <c r="AR48" s="566"/>
      <c r="AS48" s="566"/>
      <c r="AT48" s="566"/>
      <c r="AU48" s="566"/>
      <c r="AV48" s="602">
        <f t="shared" si="5"/>
        <v>0</v>
      </c>
      <c r="AW48" s="337"/>
      <c r="AX48" s="337"/>
      <c r="AY48" s="337"/>
      <c r="AZ48" s="99"/>
      <c r="BA48" s="102"/>
      <c r="BB48" s="186"/>
      <c r="BC48" s="186"/>
      <c r="BD48" s="186"/>
      <c r="BE48" s="186"/>
    </row>
    <row r="49" spans="1:57" s="622" customFormat="1" ht="70.5" hidden="1" customHeight="1" outlineLevel="7" x14ac:dyDescent="0.25">
      <c r="A49" s="8" t="s">
        <v>39</v>
      </c>
      <c r="B49" s="9" t="s">
        <v>119</v>
      </c>
      <c r="C49" s="10" t="s">
        <v>328</v>
      </c>
      <c r="D49" s="335">
        <v>0</v>
      </c>
      <c r="E49" s="170">
        <v>0</v>
      </c>
      <c r="F49" s="176"/>
      <c r="G49" s="174"/>
      <c r="H49" s="176"/>
      <c r="I49" s="176"/>
      <c r="J49" s="176"/>
      <c r="K49" s="176"/>
      <c r="L49" s="174"/>
      <c r="M49" s="176"/>
      <c r="N49" s="176"/>
      <c r="O49" s="176"/>
      <c r="P49" s="176"/>
      <c r="Q49" s="176"/>
      <c r="R49" s="586">
        <f t="shared" si="29"/>
        <v>0</v>
      </c>
      <c r="S49" s="335">
        <f t="shared" si="1"/>
        <v>0</v>
      </c>
      <c r="T49" s="337"/>
      <c r="U49" s="337">
        <f t="shared" si="2"/>
        <v>0</v>
      </c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566"/>
      <c r="AK49" s="566"/>
      <c r="AL49" s="566"/>
      <c r="AM49" s="566"/>
      <c r="AN49" s="566"/>
      <c r="AO49" s="566"/>
      <c r="AP49" s="566"/>
      <c r="AQ49" s="566"/>
      <c r="AR49" s="566"/>
      <c r="AS49" s="566"/>
      <c r="AT49" s="566"/>
      <c r="AU49" s="566"/>
      <c r="AV49" s="602">
        <f t="shared" si="5"/>
        <v>0</v>
      </c>
      <c r="AW49" s="337"/>
      <c r="AX49" s="337"/>
      <c r="AY49" s="337"/>
      <c r="AZ49" s="99"/>
      <c r="BA49" s="102"/>
      <c r="BB49" s="186"/>
      <c r="BC49" s="186"/>
      <c r="BD49" s="186"/>
      <c r="BE49" s="186"/>
    </row>
    <row r="50" spans="1:57" s="622" customFormat="1" ht="67.5" hidden="1" customHeight="1" outlineLevel="7" x14ac:dyDescent="0.25">
      <c r="A50" s="8" t="s">
        <v>40</v>
      </c>
      <c r="B50" s="9" t="s">
        <v>120</v>
      </c>
      <c r="C50" s="10" t="s">
        <v>41</v>
      </c>
      <c r="D50" s="335">
        <v>285</v>
      </c>
      <c r="E50" s="170">
        <v>0</v>
      </c>
      <c r="F50" s="176"/>
      <c r="G50" s="174"/>
      <c r="H50" s="176"/>
      <c r="I50" s="176"/>
      <c r="J50" s="176"/>
      <c r="K50" s="176"/>
      <c r="L50" s="174"/>
      <c r="M50" s="176"/>
      <c r="N50" s="176"/>
      <c r="O50" s="176"/>
      <c r="P50" s="176"/>
      <c r="Q50" s="176"/>
      <c r="R50" s="586">
        <f t="shared" si="29"/>
        <v>0</v>
      </c>
      <c r="S50" s="335">
        <f t="shared" si="1"/>
        <v>0</v>
      </c>
      <c r="T50" s="337"/>
      <c r="U50" s="337">
        <f t="shared" si="2"/>
        <v>0</v>
      </c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566"/>
      <c r="AK50" s="566"/>
      <c r="AL50" s="566"/>
      <c r="AM50" s="566"/>
      <c r="AN50" s="566"/>
      <c r="AO50" s="566"/>
      <c r="AP50" s="566"/>
      <c r="AQ50" s="566"/>
      <c r="AR50" s="566"/>
      <c r="AS50" s="566"/>
      <c r="AT50" s="566"/>
      <c r="AU50" s="566"/>
      <c r="AV50" s="602">
        <f t="shared" si="5"/>
        <v>0</v>
      </c>
      <c r="AW50" s="337"/>
      <c r="AX50" s="337"/>
      <c r="AY50" s="337"/>
      <c r="AZ50" s="99"/>
      <c r="BA50" s="102"/>
      <c r="BB50" s="186"/>
      <c r="BC50" s="186"/>
      <c r="BD50" s="186"/>
      <c r="BE50" s="186"/>
    </row>
    <row r="51" spans="1:57" s="622" customFormat="1" ht="76.5" customHeight="1" outlineLevel="7" x14ac:dyDescent="0.25">
      <c r="A51" s="8" t="s">
        <v>42</v>
      </c>
      <c r="B51" s="9" t="s">
        <v>44</v>
      </c>
      <c r="C51" s="10" t="s">
        <v>43</v>
      </c>
      <c r="D51" s="335">
        <v>0</v>
      </c>
      <c r="E51" s="170">
        <v>0</v>
      </c>
      <c r="F51" s="176"/>
      <c r="G51" s="174"/>
      <c r="H51" s="176"/>
      <c r="I51" s="176"/>
      <c r="J51" s="176"/>
      <c r="K51" s="176"/>
      <c r="L51" s="174"/>
      <c r="M51" s="176"/>
      <c r="N51" s="176"/>
      <c r="O51" s="176"/>
      <c r="P51" s="176"/>
      <c r="Q51" s="176"/>
      <c r="R51" s="586">
        <f t="shared" si="29"/>
        <v>0</v>
      </c>
      <c r="S51" s="335">
        <f t="shared" si="1"/>
        <v>0</v>
      </c>
      <c r="T51" s="337">
        <v>7.1</v>
      </c>
      <c r="U51" s="337">
        <v>0</v>
      </c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566"/>
      <c r="AK51" s="566"/>
      <c r="AL51" s="566"/>
      <c r="AM51" s="566"/>
      <c r="AN51" s="566"/>
      <c r="AO51" s="566"/>
      <c r="AP51" s="566"/>
      <c r="AQ51" s="566"/>
      <c r="AR51" s="566"/>
      <c r="AS51" s="566"/>
      <c r="AT51" s="566"/>
      <c r="AU51" s="566"/>
      <c r="AV51" s="602">
        <f t="shared" si="5"/>
        <v>0</v>
      </c>
      <c r="AW51" s="337"/>
      <c r="AX51" s="337"/>
      <c r="AY51" s="337"/>
      <c r="AZ51" s="99"/>
      <c r="BA51" s="102"/>
      <c r="BB51" s="186"/>
      <c r="BC51" s="186"/>
      <c r="BD51" s="186"/>
      <c r="BE51" s="186"/>
    </row>
    <row r="52" spans="1:57" s="622" customFormat="1" ht="89.25" customHeight="1" outlineLevel="7" x14ac:dyDescent="0.25">
      <c r="A52" s="8" t="s">
        <v>45</v>
      </c>
      <c r="B52" s="9" t="s">
        <v>121</v>
      </c>
      <c r="C52" s="10" t="s">
        <v>46</v>
      </c>
      <c r="D52" s="335">
        <v>306.2</v>
      </c>
      <c r="E52" s="170">
        <v>0</v>
      </c>
      <c r="F52" s="176"/>
      <c r="G52" s="174"/>
      <c r="H52" s="176"/>
      <c r="I52" s="176"/>
      <c r="J52" s="176"/>
      <c r="K52" s="176"/>
      <c r="L52" s="174"/>
      <c r="M52" s="176"/>
      <c r="N52" s="176"/>
      <c r="O52" s="176"/>
      <c r="P52" s="176"/>
      <c r="Q52" s="176"/>
      <c r="R52" s="586">
        <f t="shared" si="29"/>
        <v>0</v>
      </c>
      <c r="S52" s="335">
        <f t="shared" si="1"/>
        <v>0</v>
      </c>
      <c r="T52" s="337">
        <v>3.6</v>
      </c>
      <c r="U52" s="337">
        <v>0</v>
      </c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566"/>
      <c r="AK52" s="566"/>
      <c r="AL52" s="566"/>
      <c r="AM52" s="566"/>
      <c r="AN52" s="566"/>
      <c r="AO52" s="566"/>
      <c r="AP52" s="566"/>
      <c r="AQ52" s="566"/>
      <c r="AR52" s="566"/>
      <c r="AS52" s="566"/>
      <c r="AT52" s="566"/>
      <c r="AU52" s="566"/>
      <c r="AV52" s="602">
        <f t="shared" si="5"/>
        <v>0</v>
      </c>
      <c r="AW52" s="337"/>
      <c r="AX52" s="337"/>
      <c r="AY52" s="337"/>
      <c r="AZ52" s="99"/>
      <c r="BA52" s="102"/>
      <c r="BB52" s="186"/>
      <c r="BC52" s="186"/>
      <c r="BD52" s="186"/>
      <c r="BE52" s="186"/>
    </row>
    <row r="53" spans="1:57" s="622" customFormat="1" ht="46.5" customHeight="1" outlineLevel="7" x14ac:dyDescent="0.25">
      <c r="A53" s="8"/>
      <c r="B53" s="9" t="s">
        <v>226</v>
      </c>
      <c r="C53" s="10" t="s">
        <v>253</v>
      </c>
      <c r="D53" s="335">
        <v>0</v>
      </c>
      <c r="E53" s="170">
        <v>31.6</v>
      </c>
      <c r="F53" s="176"/>
      <c r="G53" s="174"/>
      <c r="H53" s="176"/>
      <c r="I53" s="176">
        <v>31.6</v>
      </c>
      <c r="J53" s="176"/>
      <c r="K53" s="176"/>
      <c r="L53" s="174"/>
      <c r="M53" s="176"/>
      <c r="N53" s="176"/>
      <c r="O53" s="176"/>
      <c r="P53" s="176"/>
      <c r="Q53" s="176"/>
      <c r="R53" s="586">
        <f t="shared" si="29"/>
        <v>31.6</v>
      </c>
      <c r="S53" s="335">
        <f t="shared" si="1"/>
        <v>0</v>
      </c>
      <c r="T53" s="337">
        <v>3393.3</v>
      </c>
      <c r="U53" s="337">
        <f t="shared" si="2"/>
        <v>3393.3</v>
      </c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566"/>
      <c r="AK53" s="566"/>
      <c r="AL53" s="566"/>
      <c r="AM53" s="566"/>
      <c r="AN53" s="566"/>
      <c r="AO53" s="566"/>
      <c r="AP53" s="566"/>
      <c r="AQ53" s="566"/>
      <c r="AR53" s="566"/>
      <c r="AS53" s="566"/>
      <c r="AT53" s="566"/>
      <c r="AU53" s="566"/>
      <c r="AV53" s="602">
        <f t="shared" si="5"/>
        <v>0</v>
      </c>
      <c r="AW53" s="337"/>
      <c r="AX53" s="337"/>
      <c r="AY53" s="337"/>
      <c r="AZ53" s="99"/>
      <c r="BA53" s="102"/>
      <c r="BB53" s="186"/>
      <c r="BC53" s="186"/>
      <c r="BD53" s="186"/>
      <c r="BE53" s="186"/>
    </row>
    <row r="54" spans="1:57" s="622" customFormat="1" ht="46.5" customHeight="1" outlineLevel="7" x14ac:dyDescent="0.25">
      <c r="A54" s="8"/>
      <c r="B54" s="9" t="s">
        <v>225</v>
      </c>
      <c r="C54" s="10" t="s">
        <v>52</v>
      </c>
      <c r="D54" s="335">
        <v>11</v>
      </c>
      <c r="E54" s="170">
        <v>10.5</v>
      </c>
      <c r="F54" s="176"/>
      <c r="G54" s="174"/>
      <c r="H54" s="176"/>
      <c r="I54" s="176">
        <v>10.5</v>
      </c>
      <c r="J54" s="176"/>
      <c r="K54" s="176"/>
      <c r="L54" s="174"/>
      <c r="M54" s="176"/>
      <c r="N54" s="176"/>
      <c r="O54" s="176"/>
      <c r="P54" s="176"/>
      <c r="Q54" s="176"/>
      <c r="R54" s="586">
        <f t="shared" si="29"/>
        <v>10.5</v>
      </c>
      <c r="S54" s="335">
        <f t="shared" si="1"/>
        <v>0</v>
      </c>
      <c r="T54" s="337">
        <v>225.8</v>
      </c>
      <c r="U54" s="337">
        <v>225.9</v>
      </c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566"/>
      <c r="AK54" s="566"/>
      <c r="AL54" s="566"/>
      <c r="AM54" s="566"/>
      <c r="AN54" s="566"/>
      <c r="AO54" s="566"/>
      <c r="AP54" s="566"/>
      <c r="AQ54" s="566"/>
      <c r="AR54" s="566"/>
      <c r="AS54" s="566"/>
      <c r="AT54" s="566"/>
      <c r="AU54" s="566"/>
      <c r="AV54" s="602">
        <f t="shared" si="5"/>
        <v>0</v>
      </c>
      <c r="AW54" s="337"/>
      <c r="AX54" s="337"/>
      <c r="AY54" s="337"/>
      <c r="AZ54" s="99"/>
      <c r="BA54" s="102"/>
      <c r="BB54" s="186"/>
      <c r="BC54" s="186"/>
      <c r="BD54" s="186"/>
      <c r="BE54" s="186"/>
    </row>
    <row r="55" spans="1:57" s="622" customFormat="1" ht="44.25" customHeight="1" outlineLevel="7" x14ac:dyDescent="0.25">
      <c r="A55" s="8" t="s">
        <v>47</v>
      </c>
      <c r="B55" s="9" t="s">
        <v>123</v>
      </c>
      <c r="C55" s="10" t="s">
        <v>254</v>
      </c>
      <c r="D55" s="417">
        <v>0</v>
      </c>
      <c r="E55" s="418">
        <v>5000</v>
      </c>
      <c r="F55" s="285"/>
      <c r="G55" s="174"/>
      <c r="H55" s="176"/>
      <c r="I55" s="176"/>
      <c r="J55" s="176"/>
      <c r="K55" s="176"/>
      <c r="L55" s="176">
        <v>1782.5</v>
      </c>
      <c r="M55" s="176"/>
      <c r="N55" s="176">
        <v>3217.5</v>
      </c>
      <c r="O55" s="176"/>
      <c r="P55" s="176"/>
      <c r="Q55" s="176"/>
      <c r="R55" s="586">
        <f t="shared" si="29"/>
        <v>5000</v>
      </c>
      <c r="S55" s="335">
        <f t="shared" si="1"/>
        <v>0</v>
      </c>
      <c r="T55" s="337">
        <v>5000</v>
      </c>
      <c r="U55" s="337">
        <f t="shared" si="2"/>
        <v>5000</v>
      </c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37"/>
      <c r="AJ55" s="566"/>
      <c r="AK55" s="566"/>
      <c r="AL55" s="566"/>
      <c r="AM55" s="566"/>
      <c r="AN55" s="566"/>
      <c r="AO55" s="566"/>
      <c r="AP55" s="566"/>
      <c r="AQ55" s="566"/>
      <c r="AR55" s="566"/>
      <c r="AS55" s="566"/>
      <c r="AT55" s="566"/>
      <c r="AU55" s="566"/>
      <c r="AV55" s="602">
        <f t="shared" si="5"/>
        <v>0</v>
      </c>
      <c r="AW55" s="337"/>
      <c r="AX55" s="337"/>
      <c r="AY55" s="337"/>
      <c r="AZ55" s="99"/>
      <c r="BA55" s="102"/>
      <c r="BB55" s="186"/>
      <c r="BC55" s="186"/>
      <c r="BD55" s="186"/>
      <c r="BE55" s="186"/>
    </row>
    <row r="56" spans="1:57" s="622" customFormat="1" ht="45.75" outlineLevel="7" thickBot="1" x14ac:dyDescent="0.3">
      <c r="A56" s="8" t="s">
        <v>48</v>
      </c>
      <c r="B56" s="9" t="s">
        <v>122</v>
      </c>
      <c r="C56" s="10" t="s">
        <v>49</v>
      </c>
      <c r="D56" s="583">
        <v>0</v>
      </c>
      <c r="E56" s="426">
        <v>208.3</v>
      </c>
      <c r="F56" s="449"/>
      <c r="G56" s="235"/>
      <c r="H56" s="176"/>
      <c r="I56" s="176"/>
      <c r="J56" s="176"/>
      <c r="K56" s="176"/>
      <c r="L56" s="176">
        <v>74.3</v>
      </c>
      <c r="M56" s="261"/>
      <c r="N56" s="261">
        <v>134</v>
      </c>
      <c r="O56" s="261"/>
      <c r="P56" s="261"/>
      <c r="Q56" s="261"/>
      <c r="R56" s="586">
        <f t="shared" si="29"/>
        <v>208.3</v>
      </c>
      <c r="S56" s="335">
        <f t="shared" si="1"/>
        <v>0</v>
      </c>
      <c r="T56" s="337">
        <v>319.10000000000002</v>
      </c>
      <c r="U56" s="337">
        <f t="shared" si="2"/>
        <v>319.10000000000002</v>
      </c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566"/>
      <c r="AK56" s="566"/>
      <c r="AL56" s="566"/>
      <c r="AM56" s="566"/>
      <c r="AN56" s="566"/>
      <c r="AO56" s="566"/>
      <c r="AP56" s="566"/>
      <c r="AQ56" s="566"/>
      <c r="AR56" s="566"/>
      <c r="AS56" s="566"/>
      <c r="AT56" s="566"/>
      <c r="AU56" s="566"/>
      <c r="AV56" s="602">
        <f t="shared" si="5"/>
        <v>0</v>
      </c>
      <c r="AW56" s="337"/>
      <c r="AX56" s="337"/>
      <c r="AY56" s="337"/>
      <c r="AZ56" s="99"/>
      <c r="BA56" s="102"/>
      <c r="BB56" s="186"/>
      <c r="BC56" s="186"/>
      <c r="BD56" s="186"/>
      <c r="BE56" s="186"/>
    </row>
    <row r="57" spans="1:57" s="622" customFormat="1" ht="48.75" customHeight="1" outlineLevel="7" x14ac:dyDescent="0.25">
      <c r="A57" s="8"/>
      <c r="B57" s="177" t="s">
        <v>140</v>
      </c>
      <c r="C57" s="247" t="s">
        <v>288</v>
      </c>
      <c r="D57" s="404">
        <v>0</v>
      </c>
      <c r="E57" s="405">
        <v>0</v>
      </c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586">
        <f t="shared" si="29"/>
        <v>0</v>
      </c>
      <c r="S57" s="335">
        <f t="shared" si="1"/>
        <v>0</v>
      </c>
      <c r="T57" s="337">
        <v>0</v>
      </c>
      <c r="U57" s="337">
        <v>2782.5</v>
      </c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566"/>
      <c r="AK57" s="566"/>
      <c r="AL57" s="566"/>
      <c r="AM57" s="566"/>
      <c r="AN57" s="566"/>
      <c r="AO57" s="566"/>
      <c r="AP57" s="566"/>
      <c r="AQ57" s="566"/>
      <c r="AR57" s="566"/>
      <c r="AS57" s="566"/>
      <c r="AT57" s="566"/>
      <c r="AU57" s="566"/>
      <c r="AV57" s="602">
        <f t="shared" si="5"/>
        <v>0</v>
      </c>
      <c r="AW57" s="337"/>
      <c r="AX57" s="337"/>
      <c r="AY57" s="337"/>
      <c r="AZ57" s="99"/>
      <c r="BA57" s="102"/>
      <c r="BB57" s="186"/>
      <c r="BC57" s="186"/>
      <c r="BD57" s="186"/>
      <c r="BE57" s="186"/>
    </row>
    <row r="58" spans="1:57" s="622" customFormat="1" ht="55.5" customHeight="1" outlineLevel="7" thickBot="1" x14ac:dyDescent="0.3">
      <c r="A58" s="8"/>
      <c r="B58" s="239" t="s">
        <v>675</v>
      </c>
      <c r="C58" s="282" t="s">
        <v>273</v>
      </c>
      <c r="D58" s="580">
        <v>0</v>
      </c>
      <c r="E58" s="581">
        <v>0</v>
      </c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590">
        <f t="shared" si="29"/>
        <v>0</v>
      </c>
      <c r="S58" s="335">
        <f t="shared" si="1"/>
        <v>0</v>
      </c>
      <c r="T58" s="582">
        <v>0</v>
      </c>
      <c r="U58" s="582">
        <f>4101.8+177.6</f>
        <v>4279.4000000000005</v>
      </c>
      <c r="V58" s="337"/>
      <c r="W58" s="337"/>
      <c r="X58" s="337"/>
      <c r="Y58" s="337"/>
      <c r="Z58" s="337"/>
      <c r="AA58" s="337"/>
      <c r="AB58" s="337"/>
      <c r="AC58" s="337"/>
      <c r="AD58" s="337"/>
      <c r="AE58" s="337"/>
      <c r="AF58" s="337"/>
      <c r="AG58" s="337"/>
      <c r="AH58" s="337"/>
      <c r="AI58" s="337"/>
      <c r="AJ58" s="566"/>
      <c r="AK58" s="566"/>
      <c r="AL58" s="566"/>
      <c r="AM58" s="566"/>
      <c r="AN58" s="566"/>
      <c r="AO58" s="566"/>
      <c r="AP58" s="566"/>
      <c r="AQ58" s="566"/>
      <c r="AR58" s="566"/>
      <c r="AS58" s="566"/>
      <c r="AT58" s="566"/>
      <c r="AU58" s="566"/>
      <c r="AV58" s="602">
        <f t="shared" si="5"/>
        <v>0</v>
      </c>
      <c r="AW58" s="337"/>
      <c r="AX58" s="337"/>
      <c r="AY58" s="337"/>
      <c r="AZ58" s="99"/>
      <c r="BA58" s="102"/>
      <c r="BB58" s="186"/>
      <c r="BC58" s="186"/>
      <c r="BD58" s="186"/>
      <c r="BE58" s="186"/>
    </row>
    <row r="59" spans="1:57" s="622" customFormat="1" ht="75" outlineLevel="7" x14ac:dyDescent="0.25">
      <c r="A59" s="8"/>
      <c r="B59" s="177" t="s">
        <v>446</v>
      </c>
      <c r="C59" s="247" t="s">
        <v>301</v>
      </c>
      <c r="D59" s="404">
        <v>1200</v>
      </c>
      <c r="E59" s="405">
        <v>400.1</v>
      </c>
      <c r="F59" s="253"/>
      <c r="G59" s="253"/>
      <c r="H59" s="253"/>
      <c r="I59" s="253"/>
      <c r="J59" s="253"/>
      <c r="K59" s="253"/>
      <c r="L59" s="253"/>
      <c r="M59" s="253"/>
      <c r="N59" s="253">
        <v>400.1</v>
      </c>
      <c r="O59" s="253"/>
      <c r="P59" s="253"/>
      <c r="Q59" s="253"/>
      <c r="R59" s="591">
        <f t="shared" si="29"/>
        <v>400.1</v>
      </c>
      <c r="S59" s="335">
        <f t="shared" si="1"/>
        <v>0</v>
      </c>
      <c r="T59" s="579"/>
      <c r="U59" s="579">
        <f t="shared" si="2"/>
        <v>0</v>
      </c>
      <c r="V59" s="337"/>
      <c r="W59" s="337"/>
      <c r="X59" s="337"/>
      <c r="Y59" s="337"/>
      <c r="Z59" s="337"/>
      <c r="AA59" s="337"/>
      <c r="AB59" s="337"/>
      <c r="AC59" s="337"/>
      <c r="AD59" s="337"/>
      <c r="AE59" s="337"/>
      <c r="AF59" s="337"/>
      <c r="AG59" s="337"/>
      <c r="AH59" s="337"/>
      <c r="AI59" s="337"/>
      <c r="AJ59" s="566"/>
      <c r="AK59" s="566"/>
      <c r="AL59" s="566"/>
      <c r="AM59" s="566"/>
      <c r="AN59" s="566"/>
      <c r="AO59" s="566"/>
      <c r="AP59" s="566"/>
      <c r="AQ59" s="566"/>
      <c r="AR59" s="566"/>
      <c r="AS59" s="566"/>
      <c r="AT59" s="566"/>
      <c r="AU59" s="566"/>
      <c r="AV59" s="602">
        <f t="shared" si="5"/>
        <v>0</v>
      </c>
      <c r="AW59" s="337"/>
      <c r="AX59" s="337"/>
      <c r="AY59" s="337"/>
      <c r="AZ59" s="99"/>
      <c r="BA59" s="102"/>
      <c r="BB59" s="186"/>
      <c r="BC59" s="186"/>
      <c r="BD59" s="186"/>
      <c r="BE59" s="186"/>
    </row>
    <row r="60" spans="1:57" s="622" customFormat="1" ht="30" outlineLevel="7" x14ac:dyDescent="0.25">
      <c r="A60" s="8" t="s">
        <v>50</v>
      </c>
      <c r="B60" s="180" t="s">
        <v>124</v>
      </c>
      <c r="C60" s="10" t="s">
        <v>51</v>
      </c>
      <c r="D60" s="335">
        <v>2600.6</v>
      </c>
      <c r="E60" s="170">
        <v>2600.6</v>
      </c>
      <c r="F60" s="176">
        <v>205.9</v>
      </c>
      <c r="G60" s="176">
        <v>205.9</v>
      </c>
      <c r="H60" s="176">
        <v>205.8</v>
      </c>
      <c r="I60" s="176">
        <v>205.9</v>
      </c>
      <c r="J60" s="176">
        <v>205.9</v>
      </c>
      <c r="K60" s="176">
        <v>205.9</v>
      </c>
      <c r="L60" s="176">
        <v>205.9</v>
      </c>
      <c r="M60" s="176">
        <v>205.9</v>
      </c>
      <c r="N60" s="176">
        <v>205.9</v>
      </c>
      <c r="O60" s="176">
        <v>205.8</v>
      </c>
      <c r="P60" s="176">
        <v>205.9</v>
      </c>
      <c r="Q60" s="176">
        <v>205.9</v>
      </c>
      <c r="R60" s="586">
        <f t="shared" si="29"/>
        <v>2470.6000000000008</v>
      </c>
      <c r="S60" s="335">
        <f t="shared" si="1"/>
        <v>411.8</v>
      </c>
      <c r="T60" s="337">
        <v>2555.6999999999998</v>
      </c>
      <c r="U60" s="337">
        <f t="shared" si="2"/>
        <v>2555.6999999999998</v>
      </c>
      <c r="V60" s="337"/>
      <c r="W60" s="335">
        <f>AV60</f>
        <v>426</v>
      </c>
      <c r="X60" s="335">
        <f>AJ60</f>
        <v>213</v>
      </c>
      <c r="Y60" s="335">
        <f>AK60</f>
        <v>213</v>
      </c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96">
        <v>213</v>
      </c>
      <c r="AK60" s="571">
        <v>213</v>
      </c>
      <c r="AL60" s="566"/>
      <c r="AM60" s="566"/>
      <c r="AN60" s="566"/>
      <c r="AO60" s="566"/>
      <c r="AP60" s="566"/>
      <c r="AQ60" s="566"/>
      <c r="AR60" s="566"/>
      <c r="AS60" s="566"/>
      <c r="AT60" s="566"/>
      <c r="AU60" s="566"/>
      <c r="AV60" s="602">
        <f t="shared" si="5"/>
        <v>426</v>
      </c>
      <c r="AW60" s="337"/>
      <c r="AX60" s="337"/>
      <c r="AY60" s="337"/>
      <c r="AZ60" s="99"/>
      <c r="BA60" s="102"/>
      <c r="BB60" s="186"/>
      <c r="BC60" s="186"/>
      <c r="BD60" s="186"/>
      <c r="BE60" s="186"/>
    </row>
    <row r="61" spans="1:57" s="19" customFormat="1" ht="83.25" customHeight="1" outlineLevel="2" x14ac:dyDescent="0.25">
      <c r="A61" s="18"/>
      <c r="B61" s="223" t="s">
        <v>676</v>
      </c>
      <c r="C61" s="20" t="s">
        <v>677</v>
      </c>
      <c r="D61" s="335">
        <v>1067.4000000000001</v>
      </c>
      <c r="E61" s="170">
        <v>0</v>
      </c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586">
        <f t="shared" si="29"/>
        <v>0</v>
      </c>
      <c r="S61" s="335">
        <f t="shared" si="1"/>
        <v>0</v>
      </c>
      <c r="T61" s="335">
        <v>11700</v>
      </c>
      <c r="U61" s="335">
        <v>0</v>
      </c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566"/>
      <c r="AK61" s="566"/>
      <c r="AL61" s="566"/>
      <c r="AM61" s="566"/>
      <c r="AN61" s="566"/>
      <c r="AO61" s="566"/>
      <c r="AP61" s="566"/>
      <c r="AQ61" s="566"/>
      <c r="AR61" s="566"/>
      <c r="AS61" s="566"/>
      <c r="AT61" s="566"/>
      <c r="AU61" s="566"/>
      <c r="AV61" s="602">
        <f t="shared" si="5"/>
        <v>0</v>
      </c>
      <c r="AW61" s="337"/>
      <c r="AX61" s="337"/>
      <c r="AY61" s="337"/>
      <c r="AZ61" s="99"/>
      <c r="BA61" s="102"/>
      <c r="BB61" s="186"/>
      <c r="BC61" s="186"/>
      <c r="BD61" s="186"/>
      <c r="BE61" s="186"/>
    </row>
    <row r="62" spans="1:57" s="622" customFormat="1" ht="30" outlineLevel="7" x14ac:dyDescent="0.25">
      <c r="A62" s="8" t="s">
        <v>50</v>
      </c>
      <c r="B62" s="9" t="s">
        <v>371</v>
      </c>
      <c r="C62" s="10" t="s">
        <v>349</v>
      </c>
      <c r="D62" s="335">
        <v>13695.9</v>
      </c>
      <c r="E62" s="170">
        <v>52878.7</v>
      </c>
      <c r="F62" s="176"/>
      <c r="G62" s="176"/>
      <c r="H62" s="176"/>
      <c r="I62" s="176">
        <v>4537.8999999999996</v>
      </c>
      <c r="J62" s="176"/>
      <c r="K62" s="176">
        <v>2350.3000000000002</v>
      </c>
      <c r="L62" s="176">
        <v>2671.7</v>
      </c>
      <c r="M62" s="176">
        <v>2392.3000000000002</v>
      </c>
      <c r="N62" s="176">
        <v>5162.8</v>
      </c>
      <c r="O62" s="176">
        <v>11309.3</v>
      </c>
      <c r="P62" s="176">
        <v>2259.5</v>
      </c>
      <c r="Q62" s="176">
        <f>15313.9+5119.1+368.1</f>
        <v>20801.099999999999</v>
      </c>
      <c r="R62" s="586">
        <f t="shared" si="29"/>
        <v>51484.899999999994</v>
      </c>
      <c r="S62" s="335">
        <f t="shared" si="1"/>
        <v>0</v>
      </c>
      <c r="T62" s="337"/>
      <c r="U62" s="337">
        <f t="shared" si="2"/>
        <v>0</v>
      </c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7"/>
      <c r="AJ62" s="566"/>
      <c r="AK62" s="566"/>
      <c r="AL62" s="566"/>
      <c r="AM62" s="566"/>
      <c r="AN62" s="566"/>
      <c r="AO62" s="566"/>
      <c r="AP62" s="566"/>
      <c r="AQ62" s="566"/>
      <c r="AR62" s="566"/>
      <c r="AS62" s="566"/>
      <c r="AT62" s="566"/>
      <c r="AU62" s="566"/>
      <c r="AV62" s="602">
        <f t="shared" si="5"/>
        <v>0</v>
      </c>
      <c r="AW62" s="337"/>
      <c r="AX62" s="337"/>
      <c r="AY62" s="337"/>
      <c r="AZ62" s="99"/>
      <c r="BA62" s="102"/>
      <c r="BB62" s="186"/>
      <c r="BC62" s="186"/>
      <c r="BD62" s="186"/>
      <c r="BE62" s="186"/>
    </row>
    <row r="63" spans="1:57" s="622" customFormat="1" ht="45" outlineLevel="7" x14ac:dyDescent="0.25">
      <c r="A63" s="8"/>
      <c r="B63" s="9" t="s">
        <v>651</v>
      </c>
      <c r="C63" s="10" t="s">
        <v>434</v>
      </c>
      <c r="D63" s="335"/>
      <c r="E63" s="170">
        <v>2626</v>
      </c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>
        <v>2282.9</v>
      </c>
      <c r="R63" s="586">
        <f t="shared" si="29"/>
        <v>2282.9</v>
      </c>
      <c r="S63" s="335">
        <f t="shared" si="1"/>
        <v>0</v>
      </c>
      <c r="T63" s="337"/>
      <c r="U63" s="337">
        <f t="shared" si="2"/>
        <v>0</v>
      </c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7"/>
      <c r="AJ63" s="566"/>
      <c r="AK63" s="566"/>
      <c r="AL63" s="566"/>
      <c r="AM63" s="566"/>
      <c r="AN63" s="566"/>
      <c r="AO63" s="566"/>
      <c r="AP63" s="566"/>
      <c r="AQ63" s="566"/>
      <c r="AR63" s="566"/>
      <c r="AS63" s="566"/>
      <c r="AT63" s="566"/>
      <c r="AU63" s="566"/>
      <c r="AV63" s="602">
        <f t="shared" si="5"/>
        <v>0</v>
      </c>
      <c r="AW63" s="337"/>
      <c r="AX63" s="337"/>
      <c r="AY63" s="337"/>
      <c r="AZ63" s="99"/>
      <c r="BA63" s="102"/>
      <c r="BB63" s="186"/>
      <c r="BC63" s="186"/>
      <c r="BD63" s="186"/>
      <c r="BE63" s="186"/>
    </row>
    <row r="64" spans="1:57" s="622" customFormat="1" ht="42.75" customHeight="1" outlineLevel="7" x14ac:dyDescent="0.25">
      <c r="A64" s="8" t="s">
        <v>36</v>
      </c>
      <c r="B64" s="9" t="s">
        <v>116</v>
      </c>
      <c r="C64" s="10" t="s">
        <v>38</v>
      </c>
      <c r="D64" s="335">
        <v>2202.3000000000002</v>
      </c>
      <c r="E64" s="170">
        <v>2202.1999999999998</v>
      </c>
      <c r="F64" s="176"/>
      <c r="G64" s="176"/>
      <c r="H64" s="176">
        <v>697.4</v>
      </c>
      <c r="I64" s="176">
        <v>697.3</v>
      </c>
      <c r="J64" s="176"/>
      <c r="K64" s="176"/>
      <c r="L64" s="176"/>
      <c r="M64" s="176"/>
      <c r="N64" s="176"/>
      <c r="O64" s="176">
        <v>697.5</v>
      </c>
      <c r="P64" s="176">
        <v>110</v>
      </c>
      <c r="Q64" s="176"/>
      <c r="R64" s="586">
        <f t="shared" si="29"/>
        <v>2202.1999999999998</v>
      </c>
      <c r="S64" s="335">
        <f t="shared" si="1"/>
        <v>0</v>
      </c>
      <c r="T64" s="337">
        <v>2132</v>
      </c>
      <c r="U64" s="337">
        <f t="shared" si="2"/>
        <v>2132</v>
      </c>
      <c r="V64" s="337"/>
      <c r="W64" s="337"/>
      <c r="X64" s="337"/>
      <c r="Y64" s="337"/>
      <c r="Z64" s="337"/>
      <c r="AA64" s="337"/>
      <c r="AB64" s="337"/>
      <c r="AC64" s="337"/>
      <c r="AD64" s="337"/>
      <c r="AE64" s="337"/>
      <c r="AF64" s="337"/>
      <c r="AG64" s="337"/>
      <c r="AH64" s="337"/>
      <c r="AI64" s="337"/>
      <c r="AJ64" s="566"/>
      <c r="AK64" s="566"/>
      <c r="AL64" s="566"/>
      <c r="AM64" s="566"/>
      <c r="AN64" s="566"/>
      <c r="AO64" s="566"/>
      <c r="AP64" s="566"/>
      <c r="AQ64" s="566"/>
      <c r="AR64" s="566"/>
      <c r="AS64" s="566"/>
      <c r="AT64" s="566"/>
      <c r="AU64" s="566"/>
      <c r="AV64" s="602">
        <f t="shared" si="5"/>
        <v>0</v>
      </c>
      <c r="AW64" s="337"/>
      <c r="AX64" s="337"/>
      <c r="AY64" s="337"/>
      <c r="AZ64" s="99"/>
      <c r="BA64" s="102"/>
      <c r="BB64" s="186"/>
      <c r="BC64" s="186"/>
      <c r="BD64" s="186"/>
      <c r="BE64" s="186"/>
    </row>
    <row r="65" spans="1:59" s="622" customFormat="1" ht="67.5" customHeight="1" outlineLevel="7" x14ac:dyDescent="0.25">
      <c r="A65" s="8"/>
      <c r="B65" s="313" t="s">
        <v>447</v>
      </c>
      <c r="C65" s="10" t="s">
        <v>69</v>
      </c>
      <c r="D65" s="335">
        <v>3448.7</v>
      </c>
      <c r="E65" s="170">
        <v>3898.7</v>
      </c>
      <c r="F65" s="176"/>
      <c r="G65" s="176"/>
      <c r="H65" s="176">
        <v>1149.5999999999999</v>
      </c>
      <c r="I65" s="176">
        <v>1149.5</v>
      </c>
      <c r="J65" s="176"/>
      <c r="K65" s="176"/>
      <c r="L65" s="176"/>
      <c r="M65" s="176"/>
      <c r="N65" s="176"/>
      <c r="O65" s="176">
        <v>1149.5999999999999</v>
      </c>
      <c r="P65" s="176">
        <v>450</v>
      </c>
      <c r="Q65" s="176"/>
      <c r="R65" s="586">
        <f t="shared" si="29"/>
        <v>3898.7</v>
      </c>
      <c r="S65" s="335">
        <f t="shared" si="1"/>
        <v>0</v>
      </c>
      <c r="T65" s="337">
        <v>3449.8</v>
      </c>
      <c r="U65" s="337">
        <f t="shared" si="2"/>
        <v>3449.8</v>
      </c>
      <c r="V65" s="337"/>
      <c r="W65" s="337"/>
      <c r="X65" s="337"/>
      <c r="Y65" s="337"/>
      <c r="Z65" s="337"/>
      <c r="AA65" s="337"/>
      <c r="AB65" s="337"/>
      <c r="AC65" s="337"/>
      <c r="AD65" s="337"/>
      <c r="AE65" s="337"/>
      <c r="AF65" s="337"/>
      <c r="AG65" s="337"/>
      <c r="AH65" s="337"/>
      <c r="AI65" s="337"/>
      <c r="AJ65" s="566"/>
      <c r="AK65" s="566"/>
      <c r="AL65" s="566"/>
      <c r="AM65" s="566"/>
      <c r="AN65" s="566"/>
      <c r="AO65" s="566"/>
      <c r="AP65" s="566"/>
      <c r="AQ65" s="566"/>
      <c r="AR65" s="566"/>
      <c r="AS65" s="566"/>
      <c r="AT65" s="566"/>
      <c r="AU65" s="566"/>
      <c r="AV65" s="602">
        <f t="shared" si="5"/>
        <v>0</v>
      </c>
      <c r="AW65" s="337"/>
      <c r="AX65" s="337"/>
      <c r="AY65" s="337"/>
      <c r="AZ65" s="99"/>
      <c r="BA65" s="102"/>
      <c r="BB65" s="186"/>
      <c r="BC65" s="186"/>
      <c r="BD65" s="186"/>
      <c r="BE65" s="186"/>
    </row>
    <row r="66" spans="1:59" s="622" customFormat="1" ht="30" outlineLevel="7" x14ac:dyDescent="0.25">
      <c r="A66" s="8"/>
      <c r="B66" s="9" t="s">
        <v>281</v>
      </c>
      <c r="C66" s="10" t="s">
        <v>350</v>
      </c>
      <c r="D66" s="335">
        <v>2048.3000000000002</v>
      </c>
      <c r="E66" s="170">
        <v>2048.3000000000002</v>
      </c>
      <c r="F66" s="176"/>
      <c r="G66" s="176"/>
      <c r="H66" s="176"/>
      <c r="I66" s="176"/>
      <c r="J66" s="176"/>
      <c r="K66" s="176">
        <v>1210.2</v>
      </c>
      <c r="L66" s="176">
        <v>838.1</v>
      </c>
      <c r="M66" s="176"/>
      <c r="N66" s="176"/>
      <c r="O66" s="176"/>
      <c r="P66" s="176"/>
      <c r="Q66" s="176"/>
      <c r="R66" s="586">
        <f t="shared" si="29"/>
        <v>2048.3000000000002</v>
      </c>
      <c r="S66" s="335">
        <f t="shared" si="1"/>
        <v>0</v>
      </c>
      <c r="T66" s="337">
        <v>870.2</v>
      </c>
      <c r="U66" s="337"/>
      <c r="V66" s="337"/>
      <c r="W66" s="337"/>
      <c r="X66" s="337"/>
      <c r="Y66" s="337"/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566"/>
      <c r="AK66" s="566"/>
      <c r="AL66" s="566"/>
      <c r="AM66" s="566"/>
      <c r="AN66" s="566"/>
      <c r="AO66" s="566"/>
      <c r="AP66" s="566"/>
      <c r="AQ66" s="566"/>
      <c r="AR66" s="566"/>
      <c r="AS66" s="566"/>
      <c r="AT66" s="566"/>
      <c r="AU66" s="566"/>
      <c r="AV66" s="602">
        <f t="shared" si="5"/>
        <v>0</v>
      </c>
      <c r="AW66" s="337"/>
      <c r="AX66" s="337"/>
      <c r="AY66" s="337"/>
      <c r="AZ66" s="99"/>
      <c r="BA66" s="102"/>
      <c r="BB66" s="186"/>
      <c r="BC66" s="186"/>
      <c r="BD66" s="186"/>
      <c r="BE66" s="186"/>
    </row>
    <row r="67" spans="1:59" ht="43.5" hidden="1" customHeight="1" x14ac:dyDescent="0.25">
      <c r="A67" s="585"/>
      <c r="B67" s="182" t="s">
        <v>268</v>
      </c>
      <c r="C67" s="10" t="s">
        <v>283</v>
      </c>
      <c r="D67" s="335">
        <v>2228.9</v>
      </c>
      <c r="E67" s="170">
        <v>0</v>
      </c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586">
        <f t="shared" si="29"/>
        <v>0</v>
      </c>
      <c r="S67" s="335">
        <f t="shared" si="1"/>
        <v>0</v>
      </c>
      <c r="T67" s="337"/>
      <c r="U67" s="337">
        <f t="shared" si="2"/>
        <v>0</v>
      </c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566"/>
      <c r="AK67" s="566"/>
      <c r="AL67" s="566"/>
      <c r="AM67" s="566"/>
      <c r="AN67" s="566"/>
      <c r="AO67" s="566"/>
      <c r="AP67" s="566"/>
      <c r="AQ67" s="566"/>
      <c r="AR67" s="566"/>
      <c r="AS67" s="566"/>
      <c r="AT67" s="566"/>
      <c r="AU67" s="566"/>
      <c r="AV67" s="602">
        <f t="shared" si="5"/>
        <v>0</v>
      </c>
      <c r="AW67" s="337"/>
      <c r="AX67" s="337"/>
      <c r="AY67" s="337"/>
      <c r="AZ67" s="99"/>
      <c r="BA67" s="102"/>
      <c r="BB67" s="186"/>
      <c r="BC67" s="186"/>
      <c r="BD67" s="186"/>
      <c r="BE67" s="186"/>
    </row>
    <row r="68" spans="1:59" ht="63.75" customHeight="1" x14ac:dyDescent="0.25">
      <c r="A68" s="585"/>
      <c r="B68" s="584" t="s">
        <v>564</v>
      </c>
      <c r="C68" s="179" t="s">
        <v>565</v>
      </c>
      <c r="D68" s="335">
        <v>4600</v>
      </c>
      <c r="E68" s="170">
        <v>4600</v>
      </c>
      <c r="F68" s="176"/>
      <c r="G68" s="176"/>
      <c r="H68" s="176"/>
      <c r="I68" s="176"/>
      <c r="J68" s="176">
        <v>2012.7</v>
      </c>
      <c r="K68" s="176">
        <v>2587.3000000000002</v>
      </c>
      <c r="L68" s="176"/>
      <c r="M68" s="176"/>
      <c r="N68" s="176"/>
      <c r="O68" s="176"/>
      <c r="P68" s="176"/>
      <c r="Q68" s="176"/>
      <c r="R68" s="586">
        <f t="shared" si="29"/>
        <v>4600</v>
      </c>
      <c r="S68" s="335">
        <f t="shared" si="1"/>
        <v>0</v>
      </c>
      <c r="T68" s="337"/>
      <c r="U68" s="337">
        <f t="shared" si="2"/>
        <v>0</v>
      </c>
      <c r="V68" s="337"/>
      <c r="W68" s="337"/>
      <c r="X68" s="337"/>
      <c r="Y68" s="337"/>
      <c r="Z68" s="337"/>
      <c r="AA68" s="337"/>
      <c r="AB68" s="337"/>
      <c r="AC68" s="337"/>
      <c r="AD68" s="337"/>
      <c r="AE68" s="337"/>
      <c r="AF68" s="337"/>
      <c r="AG68" s="337"/>
      <c r="AH68" s="337"/>
      <c r="AI68" s="337"/>
      <c r="AJ68" s="566"/>
      <c r="AK68" s="566"/>
      <c r="AL68" s="566"/>
      <c r="AM68" s="566"/>
      <c r="AN68" s="566"/>
      <c r="AO68" s="566"/>
      <c r="AP68" s="566"/>
      <c r="AQ68" s="566"/>
      <c r="AR68" s="566"/>
      <c r="AS68" s="566"/>
      <c r="AT68" s="566"/>
      <c r="AU68" s="566"/>
      <c r="AV68" s="602">
        <f t="shared" si="5"/>
        <v>0</v>
      </c>
      <c r="AW68" s="337"/>
      <c r="AX68" s="337"/>
      <c r="AY68" s="337"/>
      <c r="AZ68" s="99"/>
      <c r="BA68" s="102"/>
      <c r="BB68" s="186"/>
      <c r="BC68" s="186"/>
      <c r="BD68" s="186"/>
      <c r="BE68" s="186"/>
    </row>
    <row r="69" spans="1:59" s="622" customFormat="1" ht="30" outlineLevel="7" x14ac:dyDescent="0.25">
      <c r="A69" s="8" t="s">
        <v>35</v>
      </c>
      <c r="B69" s="226" t="s">
        <v>258</v>
      </c>
      <c r="C69" s="10" t="s">
        <v>257</v>
      </c>
      <c r="D69" s="335">
        <v>2810.6</v>
      </c>
      <c r="E69" s="170">
        <v>0</v>
      </c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586">
        <f t="shared" ref="R69" si="30">SUM(F69:Q69)</f>
        <v>0</v>
      </c>
      <c r="S69" s="335">
        <f t="shared" si="1"/>
        <v>0</v>
      </c>
      <c r="T69" s="337">
        <v>0</v>
      </c>
      <c r="U69" s="337">
        <v>2766.4</v>
      </c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337"/>
      <c r="AI69" s="337"/>
      <c r="AJ69" s="566"/>
      <c r="AK69" s="566"/>
      <c r="AL69" s="566"/>
      <c r="AM69" s="566"/>
      <c r="AN69" s="566"/>
      <c r="AO69" s="566"/>
      <c r="AP69" s="566"/>
      <c r="AQ69" s="566"/>
      <c r="AR69" s="566"/>
      <c r="AS69" s="566"/>
      <c r="AT69" s="566"/>
      <c r="AU69" s="566"/>
      <c r="AV69" s="602">
        <f t="shared" si="5"/>
        <v>0</v>
      </c>
      <c r="AW69" s="337"/>
      <c r="AX69" s="337"/>
      <c r="AY69" s="337"/>
      <c r="AZ69" s="99"/>
      <c r="BA69" s="102"/>
      <c r="BB69" s="186"/>
      <c r="BC69" s="186"/>
      <c r="BD69" s="186"/>
      <c r="BE69" s="186"/>
    </row>
    <row r="70" spans="1:59" s="622" customFormat="1" ht="30" outlineLevel="7" x14ac:dyDescent="0.25">
      <c r="A70" s="8"/>
      <c r="B70" s="223" t="s">
        <v>351</v>
      </c>
      <c r="C70" s="10" t="s">
        <v>262</v>
      </c>
      <c r="D70" s="335">
        <v>1032</v>
      </c>
      <c r="E70" s="170">
        <v>0</v>
      </c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586">
        <f t="shared" si="29"/>
        <v>0</v>
      </c>
      <c r="S70" s="335">
        <f t="shared" ref="S70:S119" si="31">F70+G70</f>
        <v>0</v>
      </c>
      <c r="T70" s="337">
        <v>0</v>
      </c>
      <c r="U70" s="337">
        <v>584.29999999999995</v>
      </c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566"/>
      <c r="AK70" s="566"/>
      <c r="AL70" s="566"/>
      <c r="AM70" s="566"/>
      <c r="AN70" s="566"/>
      <c r="AO70" s="566"/>
      <c r="AP70" s="566"/>
      <c r="AQ70" s="566"/>
      <c r="AR70" s="566"/>
      <c r="AS70" s="566"/>
      <c r="AT70" s="566"/>
      <c r="AU70" s="566"/>
      <c r="AV70" s="602">
        <f t="shared" ref="AV70:AV119" si="32">AU70+AT70+AS70+AR70+AQ70+AP70+AO70+AN70+AM70+AL70+AK70+AJ70</f>
        <v>0</v>
      </c>
      <c r="AW70" s="337"/>
      <c r="AX70" s="337"/>
      <c r="AY70" s="337"/>
      <c r="AZ70" s="99"/>
      <c r="BA70" s="102"/>
      <c r="BB70" s="186"/>
      <c r="BC70" s="186"/>
      <c r="BD70" s="186"/>
      <c r="BE70" s="186"/>
    </row>
    <row r="71" spans="1:59" s="622" customFormat="1" ht="75.75" customHeight="1" outlineLevel="7" x14ac:dyDescent="0.25">
      <c r="A71" s="8"/>
      <c r="B71" s="9" t="s">
        <v>353</v>
      </c>
      <c r="C71" s="10" t="s">
        <v>352</v>
      </c>
      <c r="D71" s="335">
        <v>2904.6</v>
      </c>
      <c r="E71" s="170">
        <v>2904.6</v>
      </c>
      <c r="F71" s="176"/>
      <c r="G71" s="176"/>
      <c r="H71" s="176"/>
      <c r="I71" s="176"/>
      <c r="J71" s="176"/>
      <c r="K71" s="176">
        <v>968.2</v>
      </c>
      <c r="L71" s="176">
        <v>968.2</v>
      </c>
      <c r="M71" s="176"/>
      <c r="N71" s="176">
        <v>968.2</v>
      </c>
      <c r="O71" s="176"/>
      <c r="P71" s="176"/>
      <c r="Q71" s="176"/>
      <c r="R71" s="586">
        <f t="shared" si="29"/>
        <v>2904.6000000000004</v>
      </c>
      <c r="S71" s="335">
        <f t="shared" si="31"/>
        <v>0</v>
      </c>
      <c r="T71" s="337">
        <v>663.7</v>
      </c>
      <c r="U71" s="337">
        <f t="shared" ref="U71:U118" si="33">T71</f>
        <v>663.7</v>
      </c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566"/>
      <c r="AK71" s="566"/>
      <c r="AL71" s="566"/>
      <c r="AM71" s="566"/>
      <c r="AN71" s="566"/>
      <c r="AO71" s="566"/>
      <c r="AP71" s="566"/>
      <c r="AQ71" s="566"/>
      <c r="AR71" s="566"/>
      <c r="AS71" s="566"/>
      <c r="AT71" s="566"/>
      <c r="AU71" s="566"/>
      <c r="AV71" s="602">
        <f t="shared" si="32"/>
        <v>0</v>
      </c>
      <c r="AW71" s="337"/>
      <c r="AX71" s="337"/>
      <c r="AY71" s="337"/>
      <c r="AZ71" s="99"/>
      <c r="BA71" s="102"/>
      <c r="BB71" s="186"/>
      <c r="BC71" s="186"/>
      <c r="BD71" s="186"/>
      <c r="BE71" s="186"/>
    </row>
    <row r="72" spans="1:59" s="622" customFormat="1" ht="50.25" customHeight="1" outlineLevel="7" x14ac:dyDescent="0.25">
      <c r="A72" s="8"/>
      <c r="B72" s="9" t="s">
        <v>215</v>
      </c>
      <c r="C72" s="10" t="s">
        <v>214</v>
      </c>
      <c r="D72" s="335">
        <v>0</v>
      </c>
      <c r="E72" s="170">
        <f>21703.1-2233.2</f>
        <v>19469.899999999998</v>
      </c>
      <c r="F72" s="176"/>
      <c r="G72" s="176"/>
      <c r="H72" s="176"/>
      <c r="I72" s="176"/>
      <c r="J72" s="176">
        <v>4988.8</v>
      </c>
      <c r="K72" s="176"/>
      <c r="L72" s="176">
        <f>4953.2+2115.4</f>
        <v>7068.6</v>
      </c>
      <c r="M72" s="176">
        <v>7412.5</v>
      </c>
      <c r="N72" s="176"/>
      <c r="O72" s="176"/>
      <c r="P72" s="176"/>
      <c r="Q72" s="176"/>
      <c r="R72" s="586">
        <f t="shared" si="29"/>
        <v>19469.900000000001</v>
      </c>
      <c r="S72" s="335">
        <f t="shared" si="31"/>
        <v>0</v>
      </c>
      <c r="T72" s="337"/>
      <c r="U72" s="337">
        <f t="shared" si="33"/>
        <v>0</v>
      </c>
      <c r="V72" s="337"/>
      <c r="W72" s="337"/>
      <c r="X72" s="337"/>
      <c r="Y72" s="337"/>
      <c r="Z72" s="337"/>
      <c r="AA72" s="337"/>
      <c r="AB72" s="337"/>
      <c r="AC72" s="337"/>
      <c r="AD72" s="337"/>
      <c r="AE72" s="337"/>
      <c r="AF72" s="337"/>
      <c r="AG72" s="337"/>
      <c r="AH72" s="337"/>
      <c r="AI72" s="337"/>
      <c r="AJ72" s="566"/>
      <c r="AK72" s="566"/>
      <c r="AL72" s="566"/>
      <c r="AM72" s="566"/>
      <c r="AN72" s="566"/>
      <c r="AO72" s="566"/>
      <c r="AP72" s="566"/>
      <c r="AQ72" s="566"/>
      <c r="AR72" s="566"/>
      <c r="AS72" s="566"/>
      <c r="AT72" s="566"/>
      <c r="AU72" s="566"/>
      <c r="AV72" s="602">
        <f t="shared" si="32"/>
        <v>0</v>
      </c>
      <c r="AW72" s="337"/>
      <c r="AX72" s="337"/>
      <c r="AY72" s="337"/>
      <c r="AZ72" s="99"/>
      <c r="BA72" s="102"/>
      <c r="BB72" s="186"/>
      <c r="BC72" s="186"/>
      <c r="BD72" s="186"/>
      <c r="BE72" s="186"/>
    </row>
    <row r="73" spans="1:59" s="622" customFormat="1" ht="50.25" hidden="1" customHeight="1" outlineLevel="7" x14ac:dyDescent="0.25">
      <c r="A73" s="8"/>
      <c r="B73" s="223" t="s">
        <v>448</v>
      </c>
      <c r="C73" s="10" t="s">
        <v>449</v>
      </c>
      <c r="D73" s="335">
        <v>0</v>
      </c>
      <c r="E73" s="170">
        <v>3772.8</v>
      </c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586">
        <f t="shared" si="29"/>
        <v>0</v>
      </c>
      <c r="S73" s="335">
        <f t="shared" si="31"/>
        <v>0</v>
      </c>
      <c r="T73" s="337"/>
      <c r="U73" s="337">
        <f t="shared" si="33"/>
        <v>0</v>
      </c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566"/>
      <c r="AK73" s="566"/>
      <c r="AL73" s="566"/>
      <c r="AM73" s="566"/>
      <c r="AN73" s="566"/>
      <c r="AO73" s="566"/>
      <c r="AP73" s="566"/>
      <c r="AQ73" s="566"/>
      <c r="AR73" s="566"/>
      <c r="AS73" s="566"/>
      <c r="AT73" s="566"/>
      <c r="AU73" s="566"/>
      <c r="AV73" s="602">
        <f t="shared" si="32"/>
        <v>0</v>
      </c>
      <c r="AW73" s="337"/>
      <c r="AX73" s="337"/>
      <c r="AY73" s="337"/>
      <c r="AZ73" s="99"/>
      <c r="BA73" s="102"/>
      <c r="BB73" s="186"/>
      <c r="BC73" s="186"/>
      <c r="BD73" s="186"/>
      <c r="BE73" s="186"/>
    </row>
    <row r="74" spans="1:59" s="622" customFormat="1" ht="33" customHeight="1" outlineLevel="7" x14ac:dyDescent="0.25">
      <c r="A74" s="8"/>
      <c r="B74" s="230" t="s">
        <v>267</v>
      </c>
      <c r="C74" s="10" t="s">
        <v>566</v>
      </c>
      <c r="D74" s="335">
        <v>0</v>
      </c>
      <c r="E74" s="170">
        <v>1692.9</v>
      </c>
      <c r="F74" s="176"/>
      <c r="G74" s="176"/>
      <c r="H74" s="176"/>
      <c r="I74" s="176"/>
      <c r="J74" s="176"/>
      <c r="K74" s="176"/>
      <c r="L74" s="176"/>
      <c r="M74" s="176"/>
      <c r="N74" s="176"/>
      <c r="O74" s="176">
        <v>1692.9</v>
      </c>
      <c r="P74" s="176"/>
      <c r="Q74" s="176"/>
      <c r="R74" s="586">
        <f t="shared" si="29"/>
        <v>1692.9</v>
      </c>
      <c r="S74" s="335">
        <f t="shared" si="31"/>
        <v>0</v>
      </c>
      <c r="T74" s="337"/>
      <c r="U74" s="337">
        <f t="shared" si="33"/>
        <v>0</v>
      </c>
      <c r="V74" s="337"/>
      <c r="W74" s="337"/>
      <c r="X74" s="337"/>
      <c r="Y74" s="337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566"/>
      <c r="AK74" s="566"/>
      <c r="AL74" s="566"/>
      <c r="AM74" s="566"/>
      <c r="AN74" s="566"/>
      <c r="AO74" s="566"/>
      <c r="AP74" s="566"/>
      <c r="AQ74" s="566"/>
      <c r="AR74" s="566"/>
      <c r="AS74" s="566"/>
      <c r="AT74" s="566"/>
      <c r="AU74" s="566"/>
      <c r="AV74" s="602">
        <f t="shared" si="32"/>
        <v>0</v>
      </c>
      <c r="AW74" s="337"/>
      <c r="AX74" s="337"/>
      <c r="AY74" s="337"/>
      <c r="AZ74" s="99"/>
      <c r="BA74" s="102"/>
      <c r="BB74" s="186"/>
      <c r="BC74" s="186"/>
      <c r="BD74" s="186"/>
      <c r="BE74" s="186"/>
    </row>
    <row r="75" spans="1:59" s="622" customFormat="1" ht="46.5" hidden="1" customHeight="1" outlineLevel="7" x14ac:dyDescent="0.25">
      <c r="A75" s="8"/>
      <c r="B75" s="223"/>
      <c r="C75" s="10"/>
      <c r="D75" s="335">
        <v>0</v>
      </c>
      <c r="E75" s="170">
        <v>0</v>
      </c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586">
        <f t="shared" si="29"/>
        <v>0</v>
      </c>
      <c r="S75" s="335">
        <f t="shared" si="31"/>
        <v>0</v>
      </c>
      <c r="T75" s="337"/>
      <c r="U75" s="337">
        <f t="shared" si="33"/>
        <v>0</v>
      </c>
      <c r="V75" s="337"/>
      <c r="W75" s="337"/>
      <c r="X75" s="337"/>
      <c r="Y75" s="337"/>
      <c r="Z75" s="337"/>
      <c r="AA75" s="337"/>
      <c r="AB75" s="337"/>
      <c r="AC75" s="337"/>
      <c r="AD75" s="337"/>
      <c r="AE75" s="337"/>
      <c r="AF75" s="337"/>
      <c r="AG75" s="337"/>
      <c r="AH75" s="337"/>
      <c r="AI75" s="337"/>
      <c r="AJ75" s="566"/>
      <c r="AK75" s="566"/>
      <c r="AL75" s="566"/>
      <c r="AM75" s="566"/>
      <c r="AN75" s="566"/>
      <c r="AO75" s="566"/>
      <c r="AP75" s="566"/>
      <c r="AQ75" s="566"/>
      <c r="AR75" s="566"/>
      <c r="AS75" s="566"/>
      <c r="AT75" s="566"/>
      <c r="AU75" s="566"/>
      <c r="AV75" s="602">
        <f t="shared" si="32"/>
        <v>0</v>
      </c>
      <c r="AW75" s="337"/>
      <c r="AX75" s="337"/>
      <c r="AY75" s="337"/>
      <c r="AZ75" s="99"/>
      <c r="BA75" s="102"/>
      <c r="BB75" s="186"/>
      <c r="BC75" s="186"/>
      <c r="BD75" s="186"/>
      <c r="BE75" s="186"/>
    </row>
    <row r="76" spans="1:59" s="622" customFormat="1" ht="24" customHeight="1" outlineLevel="2" x14ac:dyDescent="0.25">
      <c r="A76" s="8" t="s">
        <v>53</v>
      </c>
      <c r="B76" s="599" t="s">
        <v>125</v>
      </c>
      <c r="C76" s="600"/>
      <c r="D76" s="598">
        <f t="shared" ref="D76:Q76" si="34">SUM(D78:D105)</f>
        <v>399285.3</v>
      </c>
      <c r="E76" s="598">
        <f t="shared" si="34"/>
        <v>405786.30000000005</v>
      </c>
      <c r="F76" s="598">
        <f t="shared" si="34"/>
        <v>26154</v>
      </c>
      <c r="G76" s="598">
        <f t="shared" si="34"/>
        <v>27249.199999999997</v>
      </c>
      <c r="H76" s="598">
        <f t="shared" si="34"/>
        <v>29560.399999999994</v>
      </c>
      <c r="I76" s="598">
        <f t="shared" si="34"/>
        <v>58480</v>
      </c>
      <c r="J76" s="598">
        <f t="shared" si="34"/>
        <v>24169.900000000005</v>
      </c>
      <c r="K76" s="598">
        <f t="shared" si="34"/>
        <v>44900.100000000006</v>
      </c>
      <c r="L76" s="598">
        <f t="shared" si="34"/>
        <v>14328.8</v>
      </c>
      <c r="M76" s="598">
        <f t="shared" si="34"/>
        <v>40359.100000000006</v>
      </c>
      <c r="N76" s="598">
        <f t="shared" si="34"/>
        <v>26100.799999999999</v>
      </c>
      <c r="O76" s="598">
        <f t="shared" si="34"/>
        <v>51415.599999999991</v>
      </c>
      <c r="P76" s="598">
        <f t="shared" si="34"/>
        <v>1577.5</v>
      </c>
      <c r="Q76" s="598">
        <f t="shared" si="34"/>
        <v>52717.4</v>
      </c>
      <c r="R76" s="598">
        <f>SUM(R78:R105)+R77</f>
        <v>406582.40000000008</v>
      </c>
      <c r="S76" s="598">
        <f t="shared" ref="S76:AY76" si="35">SUM(S78:S105)+S77</f>
        <v>55795.599999999991</v>
      </c>
      <c r="T76" s="598">
        <f t="shared" si="35"/>
        <v>382074.5</v>
      </c>
      <c r="U76" s="598">
        <f t="shared" si="35"/>
        <v>382937.5</v>
      </c>
      <c r="V76" s="598">
        <f t="shared" si="35"/>
        <v>0</v>
      </c>
      <c r="W76" s="598">
        <f t="shared" si="35"/>
        <v>54166.19999999999</v>
      </c>
      <c r="X76" s="598">
        <f t="shared" si="35"/>
        <v>27436.299999999996</v>
      </c>
      <c r="Y76" s="598">
        <f t="shared" si="35"/>
        <v>26729.899999999998</v>
      </c>
      <c r="Z76" s="598">
        <f t="shared" si="35"/>
        <v>0</v>
      </c>
      <c r="AA76" s="598">
        <f t="shared" si="35"/>
        <v>0</v>
      </c>
      <c r="AB76" s="598">
        <f t="shared" si="35"/>
        <v>0</v>
      </c>
      <c r="AC76" s="598">
        <f t="shared" si="35"/>
        <v>0</v>
      </c>
      <c r="AD76" s="598">
        <f t="shared" si="35"/>
        <v>0</v>
      </c>
      <c r="AE76" s="598">
        <f t="shared" si="35"/>
        <v>0</v>
      </c>
      <c r="AF76" s="598">
        <f t="shared" si="35"/>
        <v>0</v>
      </c>
      <c r="AG76" s="598">
        <f t="shared" si="35"/>
        <v>0</v>
      </c>
      <c r="AH76" s="598">
        <f t="shared" si="35"/>
        <v>0</v>
      </c>
      <c r="AI76" s="598">
        <f t="shared" si="35"/>
        <v>0</v>
      </c>
      <c r="AJ76" s="598">
        <f t="shared" si="35"/>
        <v>27436.299999999996</v>
      </c>
      <c r="AK76" s="598">
        <f t="shared" si="35"/>
        <v>26729.899999999998</v>
      </c>
      <c r="AL76" s="598">
        <f t="shared" si="35"/>
        <v>0</v>
      </c>
      <c r="AM76" s="598">
        <f t="shared" si="35"/>
        <v>0</v>
      </c>
      <c r="AN76" s="598">
        <f t="shared" si="35"/>
        <v>0</v>
      </c>
      <c r="AO76" s="598">
        <f t="shared" si="35"/>
        <v>0</v>
      </c>
      <c r="AP76" s="598">
        <f t="shared" si="35"/>
        <v>0</v>
      </c>
      <c r="AQ76" s="598">
        <f t="shared" si="35"/>
        <v>0</v>
      </c>
      <c r="AR76" s="598">
        <f t="shared" si="35"/>
        <v>0</v>
      </c>
      <c r="AS76" s="598">
        <f t="shared" si="35"/>
        <v>0</v>
      </c>
      <c r="AT76" s="598">
        <f t="shared" si="35"/>
        <v>0</v>
      </c>
      <c r="AU76" s="598">
        <f t="shared" si="35"/>
        <v>0</v>
      </c>
      <c r="AV76" s="598">
        <f t="shared" si="35"/>
        <v>54166.19999999999</v>
      </c>
      <c r="AW76" s="598">
        <f t="shared" si="35"/>
        <v>0</v>
      </c>
      <c r="AX76" s="598">
        <f t="shared" ref="AX76" si="36">SUM(AX78:AX105)+AX77</f>
        <v>0</v>
      </c>
      <c r="AY76" s="598">
        <f t="shared" si="35"/>
        <v>0</v>
      </c>
      <c r="AZ76" s="169"/>
      <c r="BA76" s="106"/>
      <c r="BB76" s="187"/>
      <c r="BC76" s="106"/>
      <c r="BD76" s="187"/>
      <c r="BE76" s="187"/>
      <c r="BG76" s="72"/>
    </row>
    <row r="77" spans="1:59" s="622" customFormat="1" ht="30" outlineLevel="7" x14ac:dyDescent="0.25">
      <c r="A77" s="178"/>
      <c r="B77" s="9" t="s">
        <v>271</v>
      </c>
      <c r="C77" s="179" t="s">
        <v>360</v>
      </c>
      <c r="D77" s="337">
        <v>9569.4</v>
      </c>
      <c r="E77" s="170">
        <v>9569.7000000000007</v>
      </c>
      <c r="F77" s="176">
        <v>2392.4</v>
      </c>
      <c r="G77" s="176"/>
      <c r="H77" s="176"/>
      <c r="I77" s="176">
        <v>2392.4</v>
      </c>
      <c r="J77" s="176"/>
      <c r="K77" s="176"/>
      <c r="L77" s="176">
        <v>2392.5</v>
      </c>
      <c r="M77" s="176"/>
      <c r="N77" s="176"/>
      <c r="O77" s="176">
        <v>2392.4</v>
      </c>
      <c r="P77" s="176"/>
      <c r="Q77" s="176"/>
      <c r="R77" s="586">
        <f>SUM(F77:Q77)</f>
        <v>9569.7000000000007</v>
      </c>
      <c r="S77" s="335">
        <f t="shared" si="31"/>
        <v>2392.4</v>
      </c>
      <c r="T77" s="335">
        <v>9753.2000000000007</v>
      </c>
      <c r="U77" s="335">
        <v>9296.2000000000007</v>
      </c>
      <c r="V77" s="335"/>
      <c r="W77" s="335">
        <f>AV77</f>
        <v>2324</v>
      </c>
      <c r="X77" s="335">
        <f>AJ77</f>
        <v>2324</v>
      </c>
      <c r="Y77" s="335"/>
      <c r="Z77" s="335"/>
      <c r="AA77" s="335"/>
      <c r="AB77" s="335"/>
      <c r="AC77" s="335"/>
      <c r="AD77" s="335"/>
      <c r="AE77" s="335"/>
      <c r="AF77" s="335"/>
      <c r="AG77" s="335"/>
      <c r="AH77" s="335"/>
      <c r="AI77" s="335"/>
      <c r="AJ77" s="96">
        <v>2324</v>
      </c>
      <c r="AK77" s="566"/>
      <c r="AL77" s="566"/>
      <c r="AM77" s="566"/>
      <c r="AN77" s="566"/>
      <c r="AO77" s="566"/>
      <c r="AP77" s="566"/>
      <c r="AQ77" s="566"/>
      <c r="AR77" s="566"/>
      <c r="AS77" s="566"/>
      <c r="AT77" s="566"/>
      <c r="AU77" s="566"/>
      <c r="AV77" s="602">
        <f>AU77+AT77+AS77+AR77+AQ77+AP77+AO77+AN77+AM77+AL77+AK77+AJ77</f>
        <v>2324</v>
      </c>
      <c r="AW77" s="337"/>
      <c r="AX77" s="337"/>
      <c r="AY77" s="337"/>
      <c r="AZ77" s="170"/>
      <c r="BA77" s="102"/>
      <c r="BB77" s="186"/>
      <c r="BC77" s="186"/>
      <c r="BD77" s="186"/>
      <c r="BE77" s="186"/>
    </row>
    <row r="78" spans="1:59" s="622" customFormat="1" ht="30" outlineLevel="7" x14ac:dyDescent="0.25">
      <c r="A78" s="8" t="s">
        <v>54</v>
      </c>
      <c r="B78" s="9" t="s">
        <v>126</v>
      </c>
      <c r="C78" s="10" t="s">
        <v>55</v>
      </c>
      <c r="D78" s="337">
        <v>223604.6</v>
      </c>
      <c r="E78" s="335">
        <v>223604.6</v>
      </c>
      <c r="F78" s="176">
        <v>17702</v>
      </c>
      <c r="G78" s="176">
        <v>17702.099999999999</v>
      </c>
      <c r="H78" s="176">
        <v>17702</v>
      </c>
      <c r="I78" s="176">
        <f>17702.1+17702</f>
        <v>35404.1</v>
      </c>
      <c r="J78" s="176">
        <v>10621.2</v>
      </c>
      <c r="K78" s="176">
        <v>28323.200000000001</v>
      </c>
      <c r="L78" s="176">
        <v>7080.8</v>
      </c>
      <c r="M78" s="176">
        <v>7080.8</v>
      </c>
      <c r="N78" s="176">
        <v>17702.099999999999</v>
      </c>
      <c r="O78" s="176">
        <v>35404</v>
      </c>
      <c r="P78" s="176"/>
      <c r="Q78" s="176">
        <f>13778.2+8851</f>
        <v>22629.200000000001</v>
      </c>
      <c r="R78" s="586">
        <f t="shared" ref="R78:R83" si="37">SUM(F78:Q78)</f>
        <v>217351.5</v>
      </c>
      <c r="S78" s="335">
        <f t="shared" si="31"/>
        <v>35404.1</v>
      </c>
      <c r="T78" s="335">
        <v>217949.2</v>
      </c>
      <c r="U78" s="335">
        <f t="shared" si="33"/>
        <v>217949.2</v>
      </c>
      <c r="V78" s="335"/>
      <c r="W78" s="335">
        <f t="shared" ref="W78:W81" si="38">AV78</f>
        <v>34508.6</v>
      </c>
      <c r="X78" s="335">
        <f t="shared" ref="X78:X81" si="39">AJ78</f>
        <v>17254.3</v>
      </c>
      <c r="Y78" s="335">
        <f>AK78</f>
        <v>17254.3</v>
      </c>
      <c r="Z78" s="335"/>
      <c r="AA78" s="335"/>
      <c r="AB78" s="335"/>
      <c r="AC78" s="335"/>
      <c r="AD78" s="335"/>
      <c r="AE78" s="335"/>
      <c r="AF78" s="335"/>
      <c r="AG78" s="335"/>
      <c r="AH78" s="335"/>
      <c r="AI78" s="335"/>
      <c r="AJ78" s="96">
        <v>17254.3</v>
      </c>
      <c r="AK78" s="571">
        <v>17254.3</v>
      </c>
      <c r="AL78" s="566"/>
      <c r="AM78" s="566"/>
      <c r="AN78" s="566"/>
      <c r="AO78" s="566"/>
      <c r="AP78" s="566"/>
      <c r="AQ78" s="566"/>
      <c r="AR78" s="566"/>
      <c r="AS78" s="566"/>
      <c r="AT78" s="566"/>
      <c r="AU78" s="566"/>
      <c r="AV78" s="602">
        <f t="shared" si="32"/>
        <v>34508.6</v>
      </c>
      <c r="AW78" s="337"/>
      <c r="AX78" s="337"/>
      <c r="AY78" s="337"/>
      <c r="AZ78" s="170"/>
      <c r="BA78" s="102"/>
      <c r="BB78" s="186"/>
      <c r="BC78" s="186"/>
      <c r="BD78" s="186"/>
      <c r="BE78" s="186"/>
    </row>
    <row r="79" spans="1:59" s="622" customFormat="1" ht="45.75" customHeight="1" outlineLevel="7" x14ac:dyDescent="0.25">
      <c r="A79" s="8"/>
      <c r="B79" s="9" t="s">
        <v>269</v>
      </c>
      <c r="C79" s="10" t="s">
        <v>270</v>
      </c>
      <c r="D79" s="337">
        <v>81455.7</v>
      </c>
      <c r="E79" s="335">
        <v>81455.7</v>
      </c>
      <c r="F79" s="176">
        <v>6448.6</v>
      </c>
      <c r="G79" s="176">
        <v>6448.5</v>
      </c>
      <c r="H79" s="176">
        <v>6448.6</v>
      </c>
      <c r="I79" s="176">
        <f>6448.6*2</f>
        <v>12897.2</v>
      </c>
      <c r="J79" s="176">
        <v>3869.1</v>
      </c>
      <c r="K79" s="176">
        <v>10317.700000000001</v>
      </c>
      <c r="L79" s="176">
        <v>2579.5</v>
      </c>
      <c r="M79" s="176">
        <v>2579.4</v>
      </c>
      <c r="N79" s="176">
        <v>6448.6</v>
      </c>
      <c r="O79" s="176">
        <v>12897.1</v>
      </c>
      <c r="P79" s="176"/>
      <c r="Q79" s="176">
        <f>5019.2+3224.3</f>
        <v>8243.5</v>
      </c>
      <c r="R79" s="586">
        <f t="shared" si="37"/>
        <v>79177.8</v>
      </c>
      <c r="S79" s="335">
        <f t="shared" si="31"/>
        <v>12897.1</v>
      </c>
      <c r="T79" s="335">
        <v>81619.100000000006</v>
      </c>
      <c r="U79" s="335">
        <f t="shared" si="33"/>
        <v>81619.100000000006</v>
      </c>
      <c r="V79" s="335"/>
      <c r="W79" s="335">
        <f t="shared" si="38"/>
        <v>12923</v>
      </c>
      <c r="X79" s="335">
        <f t="shared" si="39"/>
        <v>6461.5</v>
      </c>
      <c r="Y79" s="335">
        <f t="shared" ref="Y79:Y80" si="40">AK79</f>
        <v>6461.5</v>
      </c>
      <c r="Z79" s="335"/>
      <c r="AA79" s="335"/>
      <c r="AB79" s="335"/>
      <c r="AC79" s="335"/>
      <c r="AD79" s="335"/>
      <c r="AE79" s="335"/>
      <c r="AF79" s="335"/>
      <c r="AG79" s="335"/>
      <c r="AH79" s="335"/>
      <c r="AI79" s="335"/>
      <c r="AJ79" s="96">
        <v>6461.5</v>
      </c>
      <c r="AK79" s="571">
        <v>6461.5</v>
      </c>
      <c r="AL79" s="566"/>
      <c r="AM79" s="566"/>
      <c r="AN79" s="566"/>
      <c r="AO79" s="566"/>
      <c r="AP79" s="566"/>
      <c r="AQ79" s="566"/>
      <c r="AR79" s="566"/>
      <c r="AS79" s="566"/>
      <c r="AT79" s="566"/>
      <c r="AU79" s="566"/>
      <c r="AV79" s="602">
        <f t="shared" si="32"/>
        <v>12923</v>
      </c>
      <c r="AW79" s="337"/>
      <c r="AX79" s="337"/>
      <c r="AY79" s="337"/>
      <c r="AZ79" s="170"/>
      <c r="BA79" s="102"/>
      <c r="BB79" s="186"/>
      <c r="BC79" s="186"/>
      <c r="BD79" s="186"/>
      <c r="BE79" s="186"/>
    </row>
    <row r="80" spans="1:59" s="622" customFormat="1" ht="81" customHeight="1" outlineLevel="7" x14ac:dyDescent="0.25">
      <c r="A80" s="8" t="s">
        <v>54</v>
      </c>
      <c r="B80" s="11" t="s">
        <v>129</v>
      </c>
      <c r="C80" s="10" t="s">
        <v>58</v>
      </c>
      <c r="D80" s="337">
        <v>1014</v>
      </c>
      <c r="E80" s="335">
        <v>1014</v>
      </c>
      <c r="F80" s="176">
        <v>253.5</v>
      </c>
      <c r="G80" s="176"/>
      <c r="H80" s="176"/>
      <c r="I80" s="176">
        <v>253.5</v>
      </c>
      <c r="J80" s="176"/>
      <c r="K80" s="176"/>
      <c r="L80" s="176">
        <v>253.5</v>
      </c>
      <c r="M80" s="176"/>
      <c r="N80" s="176"/>
      <c r="O80" s="176">
        <v>253.5</v>
      </c>
      <c r="P80" s="176"/>
      <c r="Q80" s="176"/>
      <c r="R80" s="586">
        <f t="shared" si="37"/>
        <v>1014</v>
      </c>
      <c r="S80" s="335">
        <f t="shared" si="31"/>
        <v>253.5</v>
      </c>
      <c r="T80" s="335">
        <v>917</v>
      </c>
      <c r="U80" s="335">
        <f t="shared" si="33"/>
        <v>917</v>
      </c>
      <c r="V80" s="335"/>
      <c r="W80" s="335">
        <f t="shared" si="38"/>
        <v>229.20000000000002</v>
      </c>
      <c r="X80" s="335">
        <f t="shared" si="39"/>
        <v>229.3</v>
      </c>
      <c r="Y80" s="335">
        <f t="shared" si="40"/>
        <v>-0.1</v>
      </c>
      <c r="Z80" s="335"/>
      <c r="AA80" s="335"/>
      <c r="AB80" s="335"/>
      <c r="AC80" s="335"/>
      <c r="AD80" s="335"/>
      <c r="AE80" s="335"/>
      <c r="AF80" s="335"/>
      <c r="AG80" s="335"/>
      <c r="AH80" s="335"/>
      <c r="AI80" s="335"/>
      <c r="AJ80" s="96">
        <v>229.3</v>
      </c>
      <c r="AK80" s="571">
        <v>-0.1</v>
      </c>
      <c r="AL80" s="566"/>
      <c r="AM80" s="566"/>
      <c r="AN80" s="566"/>
      <c r="AO80" s="566"/>
      <c r="AP80" s="566"/>
      <c r="AQ80" s="566"/>
      <c r="AR80" s="566"/>
      <c r="AS80" s="566"/>
      <c r="AT80" s="566"/>
      <c r="AU80" s="566"/>
      <c r="AV80" s="602">
        <f t="shared" si="32"/>
        <v>229.20000000000002</v>
      </c>
      <c r="AW80" s="337"/>
      <c r="AX80" s="337"/>
      <c r="AY80" s="337"/>
      <c r="AZ80" s="170"/>
      <c r="BA80" s="102"/>
      <c r="BB80" s="186"/>
      <c r="BC80" s="186"/>
      <c r="BD80" s="186"/>
      <c r="BE80" s="186"/>
    </row>
    <row r="81" spans="1:57" s="622" customFormat="1" ht="121.5" customHeight="1" outlineLevel="7" x14ac:dyDescent="0.25">
      <c r="A81" s="8" t="s">
        <v>54</v>
      </c>
      <c r="B81" s="11" t="s">
        <v>131</v>
      </c>
      <c r="C81" s="10" t="s">
        <v>68</v>
      </c>
      <c r="D81" s="337">
        <v>999.8</v>
      </c>
      <c r="E81" s="170">
        <v>999.8</v>
      </c>
      <c r="F81" s="176">
        <v>250</v>
      </c>
      <c r="G81" s="176"/>
      <c r="H81" s="176"/>
      <c r="I81" s="176">
        <v>249.9</v>
      </c>
      <c r="J81" s="176"/>
      <c r="K81" s="176"/>
      <c r="L81" s="176">
        <v>249.9</v>
      </c>
      <c r="M81" s="176"/>
      <c r="N81" s="176"/>
      <c r="O81" s="176">
        <v>250</v>
      </c>
      <c r="P81" s="176"/>
      <c r="Q81" s="176"/>
      <c r="R81" s="586">
        <f>SUM(F81:Q81)</f>
        <v>999.8</v>
      </c>
      <c r="S81" s="335">
        <f t="shared" si="31"/>
        <v>250</v>
      </c>
      <c r="T81" s="335">
        <v>1033.3</v>
      </c>
      <c r="U81" s="335">
        <f>T81</f>
        <v>1033.3</v>
      </c>
      <c r="V81" s="335"/>
      <c r="W81" s="335">
        <f t="shared" si="38"/>
        <v>258.3</v>
      </c>
      <c r="X81" s="335">
        <f t="shared" si="39"/>
        <v>258.3</v>
      </c>
      <c r="Y81" s="335"/>
      <c r="Z81" s="335"/>
      <c r="AA81" s="335"/>
      <c r="AB81" s="335"/>
      <c r="AC81" s="335"/>
      <c r="AD81" s="335"/>
      <c r="AE81" s="335"/>
      <c r="AF81" s="335"/>
      <c r="AG81" s="335"/>
      <c r="AH81" s="335"/>
      <c r="AI81" s="335"/>
      <c r="AJ81" s="96">
        <v>258.3</v>
      </c>
      <c r="AK81" s="566"/>
      <c r="AL81" s="566"/>
      <c r="AM81" s="566"/>
      <c r="AN81" s="566"/>
      <c r="AO81" s="566"/>
      <c r="AP81" s="566"/>
      <c r="AQ81" s="566"/>
      <c r="AR81" s="566"/>
      <c r="AS81" s="566"/>
      <c r="AT81" s="566"/>
      <c r="AU81" s="566"/>
      <c r="AV81" s="602">
        <f>AU81+AT81+AS81+AR81+AQ81+AP81+AO81+AN81+AM81+AL81+AK81+AJ81</f>
        <v>258.3</v>
      </c>
      <c r="AW81" s="337"/>
      <c r="AX81" s="337"/>
      <c r="AY81" s="337"/>
      <c r="AZ81" s="170"/>
      <c r="BA81" s="102"/>
      <c r="BB81" s="186"/>
      <c r="BC81" s="186"/>
      <c r="BD81" s="186"/>
      <c r="BE81" s="186"/>
    </row>
    <row r="82" spans="1:57" s="622" customFormat="1" ht="91.5" customHeight="1" outlineLevel="7" x14ac:dyDescent="0.25">
      <c r="A82" s="8" t="s">
        <v>54</v>
      </c>
      <c r="B82" s="11" t="s">
        <v>128</v>
      </c>
      <c r="C82" s="20" t="s">
        <v>57</v>
      </c>
      <c r="D82" s="337">
        <v>485.2</v>
      </c>
      <c r="E82" s="170">
        <v>242.6</v>
      </c>
      <c r="F82" s="176"/>
      <c r="G82" s="176"/>
      <c r="H82" s="176"/>
      <c r="I82" s="176">
        <v>121.3</v>
      </c>
      <c r="J82" s="176"/>
      <c r="K82" s="176"/>
      <c r="L82" s="176">
        <v>60.6</v>
      </c>
      <c r="M82" s="176"/>
      <c r="N82" s="176"/>
      <c r="O82" s="176"/>
      <c r="P82" s="176"/>
      <c r="Q82" s="176">
        <v>-181.9</v>
      </c>
      <c r="R82" s="586">
        <f>SUM(F82:Q82)</f>
        <v>0</v>
      </c>
      <c r="S82" s="335">
        <f t="shared" si="31"/>
        <v>0</v>
      </c>
      <c r="T82" s="335">
        <v>403.8</v>
      </c>
      <c r="U82" s="335">
        <f>T82</f>
        <v>403.8</v>
      </c>
      <c r="V82" s="335"/>
      <c r="W82" s="335"/>
      <c r="X82" s="335"/>
      <c r="Y82" s="335"/>
      <c r="Z82" s="335"/>
      <c r="AA82" s="335"/>
      <c r="AB82" s="335"/>
      <c r="AC82" s="335"/>
      <c r="AD82" s="335"/>
      <c r="AE82" s="335"/>
      <c r="AF82" s="335"/>
      <c r="AG82" s="335"/>
      <c r="AH82" s="335"/>
      <c r="AI82" s="335"/>
      <c r="AJ82" s="96"/>
      <c r="AK82" s="566"/>
      <c r="AL82" s="566"/>
      <c r="AM82" s="566"/>
      <c r="AN82" s="566"/>
      <c r="AO82" s="566"/>
      <c r="AP82" s="566"/>
      <c r="AQ82" s="566"/>
      <c r="AR82" s="566"/>
      <c r="AS82" s="566"/>
      <c r="AT82" s="566"/>
      <c r="AU82" s="566"/>
      <c r="AV82" s="602">
        <f>AU82+AT82+AS82+AR82+AQ82+AP82+AO82+AN82+AM82+AL82+AK82+AJ82</f>
        <v>0</v>
      </c>
      <c r="AW82" s="337"/>
      <c r="AX82" s="337"/>
      <c r="AY82" s="337"/>
      <c r="AZ82" s="170"/>
      <c r="BA82" s="102"/>
      <c r="BB82" s="186"/>
      <c r="BC82" s="186"/>
      <c r="BD82" s="186"/>
      <c r="BE82" s="186"/>
    </row>
    <row r="83" spans="1:57" s="622" customFormat="1" ht="120" outlineLevel="7" x14ac:dyDescent="0.25">
      <c r="A83" s="8"/>
      <c r="B83" s="11" t="s">
        <v>567</v>
      </c>
      <c r="C83" s="10" t="s">
        <v>487</v>
      </c>
      <c r="D83" s="337">
        <v>0</v>
      </c>
      <c r="E83" s="335">
        <v>546.79999999999995</v>
      </c>
      <c r="F83" s="285"/>
      <c r="G83" s="176">
        <v>91.1</v>
      </c>
      <c r="H83" s="176">
        <v>45.6</v>
      </c>
      <c r="I83" s="176">
        <v>45.6</v>
      </c>
      <c r="J83" s="176">
        <v>141.19999999999999</v>
      </c>
      <c r="K83" s="176"/>
      <c r="L83" s="176">
        <v>22.8</v>
      </c>
      <c r="M83" s="176">
        <v>18.3</v>
      </c>
      <c r="N83" s="176">
        <v>45.5</v>
      </c>
      <c r="O83" s="176">
        <v>45.6</v>
      </c>
      <c r="P83" s="176">
        <v>45.6</v>
      </c>
      <c r="Q83" s="176">
        <v>45.5</v>
      </c>
      <c r="R83" s="586">
        <f t="shared" si="37"/>
        <v>546.80000000000007</v>
      </c>
      <c r="S83" s="335">
        <f t="shared" si="31"/>
        <v>91.1</v>
      </c>
      <c r="T83" s="335">
        <v>546.79999999999995</v>
      </c>
      <c r="U83" s="335">
        <f t="shared" si="33"/>
        <v>546.79999999999995</v>
      </c>
      <c r="V83" s="335"/>
      <c r="W83" s="335">
        <f>AV83</f>
        <v>45.6</v>
      </c>
      <c r="X83" s="335"/>
      <c r="Y83" s="335">
        <f>AK83</f>
        <v>45.6</v>
      </c>
      <c r="Z83" s="335"/>
      <c r="AA83" s="335"/>
      <c r="AB83" s="335"/>
      <c r="AC83" s="335"/>
      <c r="AD83" s="335"/>
      <c r="AE83" s="335"/>
      <c r="AF83" s="335"/>
      <c r="AG83" s="335"/>
      <c r="AH83" s="335"/>
      <c r="AI83" s="335"/>
      <c r="AJ83" s="96"/>
      <c r="AK83" s="571">
        <v>45.6</v>
      </c>
      <c r="AL83" s="566"/>
      <c r="AM83" s="566"/>
      <c r="AN83" s="566"/>
      <c r="AO83" s="566"/>
      <c r="AP83" s="566"/>
      <c r="AQ83" s="566"/>
      <c r="AR83" s="566"/>
      <c r="AS83" s="566"/>
      <c r="AT83" s="566"/>
      <c r="AU83" s="566"/>
      <c r="AV83" s="602">
        <f t="shared" si="32"/>
        <v>45.6</v>
      </c>
      <c r="AW83" s="337"/>
      <c r="AX83" s="337"/>
      <c r="AY83" s="337"/>
      <c r="AZ83" s="170"/>
      <c r="BA83" s="102"/>
      <c r="BB83" s="186"/>
      <c r="BC83" s="186"/>
      <c r="BD83" s="186"/>
      <c r="BE83" s="186"/>
    </row>
    <row r="84" spans="1:57" s="622" customFormat="1" ht="75.75" customHeight="1" outlineLevel="7" thickBot="1" x14ac:dyDescent="0.3">
      <c r="A84" s="8" t="s">
        <v>54</v>
      </c>
      <c r="B84" s="293" t="s">
        <v>133</v>
      </c>
      <c r="C84" s="282" t="s">
        <v>73</v>
      </c>
      <c r="D84" s="337">
        <v>747.4</v>
      </c>
      <c r="E84" s="335">
        <v>747.4</v>
      </c>
      <c r="F84" s="422">
        <v>186.9</v>
      </c>
      <c r="G84" s="431"/>
      <c r="H84" s="261"/>
      <c r="I84" s="261">
        <v>186.8</v>
      </c>
      <c r="J84" s="261"/>
      <c r="K84" s="261"/>
      <c r="L84" s="261">
        <v>186.8</v>
      </c>
      <c r="M84" s="261"/>
      <c r="N84" s="261"/>
      <c r="O84" s="261">
        <v>186.9</v>
      </c>
      <c r="P84" s="261"/>
      <c r="Q84" s="261"/>
      <c r="R84" s="586">
        <f t="shared" ref="R84:R105" si="41">SUM(F84:Q84)</f>
        <v>747.4</v>
      </c>
      <c r="S84" s="335">
        <f t="shared" si="31"/>
        <v>186.9</v>
      </c>
      <c r="T84" s="335">
        <v>658.6</v>
      </c>
      <c r="U84" s="335">
        <f t="shared" si="33"/>
        <v>658.6</v>
      </c>
      <c r="V84" s="335"/>
      <c r="W84" s="335">
        <f>AV84</f>
        <v>164.7</v>
      </c>
      <c r="X84" s="335">
        <f>AJ84</f>
        <v>164.7</v>
      </c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96">
        <v>164.7</v>
      </c>
      <c r="AK84" s="566"/>
      <c r="AL84" s="566"/>
      <c r="AM84" s="566"/>
      <c r="AN84" s="566"/>
      <c r="AO84" s="566"/>
      <c r="AP84" s="566"/>
      <c r="AQ84" s="566"/>
      <c r="AR84" s="566"/>
      <c r="AS84" s="566"/>
      <c r="AT84" s="566"/>
      <c r="AU84" s="566"/>
      <c r="AV84" s="602">
        <f t="shared" si="32"/>
        <v>164.7</v>
      </c>
      <c r="AW84" s="337"/>
      <c r="AX84" s="337"/>
      <c r="AY84" s="337"/>
      <c r="AZ84" s="170"/>
      <c r="BA84" s="102"/>
      <c r="BB84" s="186"/>
      <c r="BC84" s="186"/>
      <c r="BD84" s="186"/>
      <c r="BE84" s="186"/>
    </row>
    <row r="85" spans="1:57" s="622" customFormat="1" ht="97.5" customHeight="1" outlineLevel="5" x14ac:dyDescent="0.25">
      <c r="A85" s="8" t="s">
        <v>74</v>
      </c>
      <c r="B85" s="177" t="s">
        <v>276</v>
      </c>
      <c r="C85" s="247" t="s">
        <v>277</v>
      </c>
      <c r="D85" s="337">
        <v>2932.6</v>
      </c>
      <c r="E85" s="335">
        <v>2932.6</v>
      </c>
      <c r="F85" s="253">
        <v>733.2</v>
      </c>
      <c r="G85" s="253">
        <v>-0.1</v>
      </c>
      <c r="H85" s="253"/>
      <c r="I85" s="253">
        <v>733.2</v>
      </c>
      <c r="J85" s="253"/>
      <c r="K85" s="253"/>
      <c r="L85" s="253">
        <v>733.2</v>
      </c>
      <c r="M85" s="253"/>
      <c r="N85" s="253"/>
      <c r="O85" s="253">
        <v>733.1</v>
      </c>
      <c r="P85" s="253"/>
      <c r="Q85" s="253"/>
      <c r="R85" s="586">
        <f t="shared" si="41"/>
        <v>2932.6</v>
      </c>
      <c r="S85" s="335">
        <f t="shared" si="31"/>
        <v>733.1</v>
      </c>
      <c r="T85" s="335">
        <v>2762.5</v>
      </c>
      <c r="U85" s="335">
        <f t="shared" si="33"/>
        <v>2762.5</v>
      </c>
      <c r="V85" s="335"/>
      <c r="W85" s="335">
        <f>AV85</f>
        <v>690.6</v>
      </c>
      <c r="X85" s="335">
        <f>AJ85</f>
        <v>690.6</v>
      </c>
      <c r="Y85" s="335"/>
      <c r="Z85" s="335"/>
      <c r="AA85" s="335"/>
      <c r="AB85" s="335"/>
      <c r="AC85" s="335"/>
      <c r="AD85" s="335"/>
      <c r="AE85" s="335"/>
      <c r="AF85" s="335"/>
      <c r="AG85" s="335"/>
      <c r="AH85" s="335"/>
      <c r="AI85" s="335"/>
      <c r="AJ85" s="96">
        <v>690.6</v>
      </c>
      <c r="AK85" s="566"/>
      <c r="AL85" s="566"/>
      <c r="AM85" s="566"/>
      <c r="AN85" s="566"/>
      <c r="AO85" s="566"/>
      <c r="AP85" s="566"/>
      <c r="AQ85" s="566"/>
      <c r="AR85" s="566"/>
      <c r="AS85" s="566"/>
      <c r="AT85" s="566"/>
      <c r="AU85" s="566"/>
      <c r="AV85" s="602">
        <f t="shared" si="32"/>
        <v>690.6</v>
      </c>
      <c r="AW85" s="337"/>
      <c r="AX85" s="337"/>
      <c r="AY85" s="337"/>
      <c r="AZ85" s="170"/>
      <c r="BA85" s="102"/>
      <c r="BB85" s="186"/>
      <c r="BC85" s="186"/>
      <c r="BD85" s="186"/>
      <c r="BE85" s="186"/>
    </row>
    <row r="86" spans="1:57" s="622" customFormat="1" ht="45" outlineLevel="7" x14ac:dyDescent="0.25">
      <c r="A86" s="8" t="s">
        <v>54</v>
      </c>
      <c r="B86" s="11" t="s">
        <v>130</v>
      </c>
      <c r="C86" s="10" t="s">
        <v>63</v>
      </c>
      <c r="D86" s="337">
        <v>531.20000000000005</v>
      </c>
      <c r="E86" s="335">
        <v>531.20000000000005</v>
      </c>
      <c r="F86" s="176">
        <v>531.20000000000005</v>
      </c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586">
        <f t="shared" ref="R86:R100" si="42">SUM(F86:Q86)</f>
        <v>531.20000000000005</v>
      </c>
      <c r="S86" s="335">
        <f t="shared" si="31"/>
        <v>531.20000000000005</v>
      </c>
      <c r="T86" s="335">
        <v>961.7</v>
      </c>
      <c r="U86" s="335">
        <f>T86</f>
        <v>961.7</v>
      </c>
      <c r="V86" s="335"/>
      <c r="W86" s="335"/>
      <c r="X86" s="335"/>
      <c r="Y86" s="335"/>
      <c r="Z86" s="335"/>
      <c r="AA86" s="335"/>
      <c r="AB86" s="335"/>
      <c r="AC86" s="335"/>
      <c r="AD86" s="335"/>
      <c r="AE86" s="335"/>
      <c r="AF86" s="335"/>
      <c r="AG86" s="335"/>
      <c r="AH86" s="335"/>
      <c r="AI86" s="335"/>
      <c r="AJ86" s="96"/>
      <c r="AK86" s="566"/>
      <c r="AL86" s="566"/>
      <c r="AM86" s="566"/>
      <c r="AN86" s="566"/>
      <c r="AO86" s="566"/>
      <c r="AP86" s="566"/>
      <c r="AQ86" s="566"/>
      <c r="AR86" s="566"/>
      <c r="AS86" s="566"/>
      <c r="AT86" s="566"/>
      <c r="AU86" s="566"/>
      <c r="AV86" s="602">
        <f t="shared" si="32"/>
        <v>0</v>
      </c>
      <c r="AW86" s="337"/>
      <c r="AX86" s="337"/>
      <c r="AY86" s="337"/>
      <c r="AZ86" s="170"/>
      <c r="BA86" s="102"/>
      <c r="BB86" s="186"/>
      <c r="BC86" s="186"/>
      <c r="BD86" s="186"/>
      <c r="BE86" s="186"/>
    </row>
    <row r="87" spans="1:57" s="622" customFormat="1" ht="90" outlineLevel="7" x14ac:dyDescent="0.25">
      <c r="A87" s="8"/>
      <c r="B87" s="2" t="s">
        <v>78</v>
      </c>
      <c r="C87" s="10" t="s">
        <v>77</v>
      </c>
      <c r="D87" s="337">
        <v>42412.5</v>
      </c>
      <c r="E87" s="170">
        <v>38566.9</v>
      </c>
      <c r="F87" s="176"/>
      <c r="G87" s="176"/>
      <c r="H87" s="176"/>
      <c r="I87" s="176"/>
      <c r="J87" s="176">
        <v>2266.9</v>
      </c>
      <c r="K87" s="176"/>
      <c r="L87" s="176"/>
      <c r="M87" s="176">
        <v>18113.7</v>
      </c>
      <c r="N87" s="176"/>
      <c r="O87" s="176"/>
      <c r="P87" s="176"/>
      <c r="Q87" s="176">
        <v>18186.3</v>
      </c>
      <c r="R87" s="586">
        <f t="shared" si="42"/>
        <v>38566.9</v>
      </c>
      <c r="S87" s="335">
        <f t="shared" si="31"/>
        <v>0</v>
      </c>
      <c r="T87" s="335">
        <v>46200</v>
      </c>
      <c r="U87" s="335">
        <v>47520</v>
      </c>
      <c r="V87" s="335"/>
      <c r="W87" s="335"/>
      <c r="X87" s="335"/>
      <c r="Y87" s="335"/>
      <c r="Z87" s="335"/>
      <c r="AA87" s="335"/>
      <c r="AB87" s="335"/>
      <c r="AC87" s="335"/>
      <c r="AD87" s="335"/>
      <c r="AE87" s="335"/>
      <c r="AF87" s="335"/>
      <c r="AG87" s="335"/>
      <c r="AH87" s="335"/>
      <c r="AI87" s="335"/>
      <c r="AJ87" s="96"/>
      <c r="AK87" s="566"/>
      <c r="AL87" s="566"/>
      <c r="AM87" s="566"/>
      <c r="AN87" s="566"/>
      <c r="AO87" s="566"/>
      <c r="AP87" s="566"/>
      <c r="AQ87" s="566"/>
      <c r="AR87" s="566"/>
      <c r="AS87" s="566"/>
      <c r="AT87" s="566"/>
      <c r="AU87" s="566"/>
      <c r="AV87" s="602">
        <f t="shared" si="32"/>
        <v>0</v>
      </c>
      <c r="AW87" s="337"/>
      <c r="AX87" s="337"/>
      <c r="AY87" s="337"/>
      <c r="AZ87" s="170"/>
      <c r="BA87" s="102"/>
      <c r="BB87" s="186"/>
      <c r="BC87" s="186"/>
      <c r="BD87" s="186"/>
      <c r="BE87" s="186"/>
    </row>
    <row r="88" spans="1:57" s="622" customFormat="1" ht="45" outlineLevel="7" x14ac:dyDescent="0.25">
      <c r="A88" s="8" t="s">
        <v>80</v>
      </c>
      <c r="B88" s="238" t="s">
        <v>134</v>
      </c>
      <c r="C88" s="10" t="s">
        <v>79</v>
      </c>
      <c r="D88" s="337">
        <v>6.5</v>
      </c>
      <c r="E88" s="170">
        <v>6.5</v>
      </c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>
        <v>6.5</v>
      </c>
      <c r="Q88" s="176"/>
      <c r="R88" s="586">
        <f t="shared" si="42"/>
        <v>6.5</v>
      </c>
      <c r="S88" s="335">
        <f t="shared" si="31"/>
        <v>0</v>
      </c>
      <c r="T88" s="335">
        <v>67</v>
      </c>
      <c r="U88" s="335">
        <f t="shared" ref="U88:U102" si="43">T88</f>
        <v>67</v>
      </c>
      <c r="V88" s="335"/>
      <c r="W88" s="335"/>
      <c r="X88" s="335"/>
      <c r="Y88" s="335"/>
      <c r="Z88" s="335"/>
      <c r="AA88" s="335"/>
      <c r="AB88" s="335"/>
      <c r="AC88" s="335"/>
      <c r="AD88" s="335"/>
      <c r="AE88" s="335"/>
      <c r="AF88" s="335"/>
      <c r="AG88" s="335"/>
      <c r="AH88" s="335"/>
      <c r="AI88" s="335"/>
      <c r="AJ88" s="96"/>
      <c r="AK88" s="566"/>
      <c r="AL88" s="566"/>
      <c r="AM88" s="566"/>
      <c r="AN88" s="566"/>
      <c r="AO88" s="566"/>
      <c r="AP88" s="566"/>
      <c r="AQ88" s="566"/>
      <c r="AR88" s="566"/>
      <c r="AS88" s="566"/>
      <c r="AT88" s="566"/>
      <c r="AU88" s="566"/>
      <c r="AV88" s="602">
        <f t="shared" si="32"/>
        <v>0</v>
      </c>
      <c r="AW88" s="337"/>
      <c r="AX88" s="337"/>
      <c r="AY88" s="337"/>
      <c r="AZ88" s="170"/>
      <c r="BA88" s="102"/>
      <c r="BB88" s="186"/>
      <c r="BC88" s="186"/>
      <c r="BD88" s="186"/>
      <c r="BE88" s="186"/>
    </row>
    <row r="89" spans="1:57" s="622" customFormat="1" ht="76.5" customHeight="1" outlineLevel="7" x14ac:dyDescent="0.25">
      <c r="A89" s="8"/>
      <c r="B89" s="21" t="s">
        <v>679</v>
      </c>
      <c r="C89" s="10" t="s">
        <v>680</v>
      </c>
      <c r="D89" s="337"/>
      <c r="E89" s="170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586">
        <f t="shared" si="42"/>
        <v>0</v>
      </c>
      <c r="S89" s="335">
        <f t="shared" si="31"/>
        <v>0</v>
      </c>
      <c r="T89" s="335">
        <v>1163.0999999999999</v>
      </c>
      <c r="U89" s="335">
        <f t="shared" si="43"/>
        <v>1163.0999999999999</v>
      </c>
      <c r="V89" s="335"/>
      <c r="W89" s="335"/>
      <c r="X89" s="335"/>
      <c r="Y89" s="335"/>
      <c r="Z89" s="335"/>
      <c r="AA89" s="335"/>
      <c r="AB89" s="335"/>
      <c r="AC89" s="335"/>
      <c r="AD89" s="335"/>
      <c r="AE89" s="335"/>
      <c r="AF89" s="335"/>
      <c r="AG89" s="335"/>
      <c r="AH89" s="335"/>
      <c r="AI89" s="335"/>
      <c r="AJ89" s="96"/>
      <c r="AK89" s="566"/>
      <c r="AL89" s="566"/>
      <c r="AM89" s="566"/>
      <c r="AN89" s="566"/>
      <c r="AO89" s="566"/>
      <c r="AP89" s="566"/>
      <c r="AQ89" s="566"/>
      <c r="AR89" s="566"/>
      <c r="AS89" s="566"/>
      <c r="AT89" s="566"/>
      <c r="AU89" s="566"/>
      <c r="AV89" s="602">
        <f t="shared" si="32"/>
        <v>0</v>
      </c>
      <c r="AW89" s="337"/>
      <c r="AX89" s="337"/>
      <c r="AY89" s="337"/>
      <c r="AZ89" s="170"/>
      <c r="BA89" s="102"/>
      <c r="BB89" s="186"/>
      <c r="BC89" s="186"/>
      <c r="BD89" s="186"/>
      <c r="BE89" s="186"/>
    </row>
    <row r="90" spans="1:57" s="622" customFormat="1" ht="65.25" customHeight="1" outlineLevel="7" x14ac:dyDescent="0.25">
      <c r="A90" s="8"/>
      <c r="B90" s="9" t="s">
        <v>142</v>
      </c>
      <c r="C90" s="10" t="s">
        <v>141</v>
      </c>
      <c r="D90" s="337"/>
      <c r="E90" s="170">
        <f>17967.6-91.3</f>
        <v>17876.3</v>
      </c>
      <c r="F90" s="176"/>
      <c r="G90" s="176">
        <v>3007.6</v>
      </c>
      <c r="H90" s="176">
        <v>1503.8</v>
      </c>
      <c r="I90" s="176">
        <v>1503.8</v>
      </c>
      <c r="J90" s="176">
        <v>4439.8999999999996</v>
      </c>
      <c r="K90" s="176"/>
      <c r="L90" s="176">
        <v>716.1</v>
      </c>
      <c r="M90" s="176">
        <v>716.1</v>
      </c>
      <c r="N90" s="176">
        <v>1525.4</v>
      </c>
      <c r="O90" s="176">
        <v>1525.4</v>
      </c>
      <c r="P90" s="176">
        <v>1525.4</v>
      </c>
      <c r="Q90" s="176">
        <v>1412.8</v>
      </c>
      <c r="R90" s="586">
        <f t="shared" si="42"/>
        <v>17876.3</v>
      </c>
      <c r="S90" s="335">
        <f t="shared" si="31"/>
        <v>3007.6</v>
      </c>
      <c r="T90" s="335">
        <v>17811.400000000001</v>
      </c>
      <c r="U90" s="335">
        <f t="shared" si="43"/>
        <v>17811.400000000001</v>
      </c>
      <c r="V90" s="335"/>
      <c r="W90" s="335">
        <f>AV90</f>
        <v>2968.6</v>
      </c>
      <c r="X90" s="335"/>
      <c r="Y90" s="335">
        <f>AK90</f>
        <v>2968.6</v>
      </c>
      <c r="Z90" s="335"/>
      <c r="AA90" s="335"/>
      <c r="AB90" s="335"/>
      <c r="AC90" s="335"/>
      <c r="AD90" s="335"/>
      <c r="AE90" s="335"/>
      <c r="AF90" s="335"/>
      <c r="AG90" s="335"/>
      <c r="AH90" s="335"/>
      <c r="AI90" s="335"/>
      <c r="AJ90" s="96"/>
      <c r="AK90" s="571">
        <v>2968.6</v>
      </c>
      <c r="AL90" s="566"/>
      <c r="AM90" s="566"/>
      <c r="AN90" s="566"/>
      <c r="AO90" s="566"/>
      <c r="AP90" s="566"/>
      <c r="AQ90" s="566"/>
      <c r="AR90" s="566"/>
      <c r="AS90" s="566"/>
      <c r="AT90" s="566"/>
      <c r="AU90" s="566"/>
      <c r="AV90" s="602">
        <f t="shared" si="32"/>
        <v>2968.6</v>
      </c>
      <c r="AW90" s="337"/>
      <c r="AX90" s="337"/>
      <c r="AY90" s="337"/>
      <c r="AZ90" s="170"/>
      <c r="BA90" s="102"/>
      <c r="BB90" s="186"/>
      <c r="BC90" s="186"/>
      <c r="BD90" s="186"/>
      <c r="BE90" s="186"/>
    </row>
    <row r="91" spans="1:57" s="622" customFormat="1" ht="75" customHeight="1" outlineLevel="7" x14ac:dyDescent="0.25">
      <c r="A91" s="8" t="s">
        <v>54</v>
      </c>
      <c r="B91" s="9" t="s">
        <v>127</v>
      </c>
      <c r="C91" s="10" t="s">
        <v>56</v>
      </c>
      <c r="D91" s="337">
        <v>179.8</v>
      </c>
      <c r="E91" s="170">
        <v>194.6</v>
      </c>
      <c r="F91" s="176">
        <v>48.6</v>
      </c>
      <c r="G91" s="176"/>
      <c r="H91" s="176"/>
      <c r="I91" s="176">
        <v>48.7</v>
      </c>
      <c r="J91" s="176"/>
      <c r="K91" s="176"/>
      <c r="L91" s="176">
        <v>48.6</v>
      </c>
      <c r="M91" s="176"/>
      <c r="N91" s="176"/>
      <c r="O91" s="176">
        <v>48.7</v>
      </c>
      <c r="P91" s="176"/>
      <c r="Q91" s="176"/>
      <c r="R91" s="586">
        <f t="shared" si="42"/>
        <v>194.60000000000002</v>
      </c>
      <c r="S91" s="335">
        <f t="shared" si="31"/>
        <v>48.6</v>
      </c>
      <c r="T91" s="335">
        <v>214.3</v>
      </c>
      <c r="U91" s="335">
        <f t="shared" si="43"/>
        <v>214.3</v>
      </c>
      <c r="V91" s="335"/>
      <c r="W91" s="335">
        <f>AV91</f>
        <v>53.6</v>
      </c>
      <c r="X91" s="335">
        <f>AJ91</f>
        <v>53.6</v>
      </c>
      <c r="Y91" s="335"/>
      <c r="Z91" s="335"/>
      <c r="AA91" s="335"/>
      <c r="AB91" s="335"/>
      <c r="AC91" s="335"/>
      <c r="AD91" s="335"/>
      <c r="AE91" s="335"/>
      <c r="AF91" s="335"/>
      <c r="AG91" s="335"/>
      <c r="AH91" s="335"/>
      <c r="AI91" s="335"/>
      <c r="AJ91" s="96">
        <v>53.6</v>
      </c>
      <c r="AK91" s="566"/>
      <c r="AL91" s="566"/>
      <c r="AM91" s="566"/>
      <c r="AN91" s="566"/>
      <c r="AO91" s="566"/>
      <c r="AP91" s="566"/>
      <c r="AQ91" s="566"/>
      <c r="AR91" s="566"/>
      <c r="AS91" s="566"/>
      <c r="AT91" s="566"/>
      <c r="AU91" s="566"/>
      <c r="AV91" s="602">
        <f t="shared" si="32"/>
        <v>53.6</v>
      </c>
      <c r="AW91" s="337"/>
      <c r="AX91" s="337"/>
      <c r="AY91" s="337"/>
      <c r="AZ91" s="170"/>
      <c r="BA91" s="102"/>
      <c r="BB91" s="186"/>
      <c r="BC91" s="186"/>
      <c r="BD91" s="186"/>
      <c r="BE91" s="186"/>
    </row>
    <row r="92" spans="1:57" s="622" customFormat="1" ht="120" outlineLevel="7" x14ac:dyDescent="0.25">
      <c r="A92" s="8"/>
      <c r="B92" s="237" t="s">
        <v>260</v>
      </c>
      <c r="C92" s="10" t="s">
        <v>70</v>
      </c>
      <c r="D92" s="337">
        <v>15</v>
      </c>
      <c r="E92" s="170">
        <v>0</v>
      </c>
      <c r="F92" s="285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586">
        <f t="shared" si="42"/>
        <v>0</v>
      </c>
      <c r="S92" s="335">
        <f t="shared" si="31"/>
        <v>0</v>
      </c>
      <c r="T92" s="335">
        <v>13.5</v>
      </c>
      <c r="U92" s="335">
        <f t="shared" si="43"/>
        <v>13.5</v>
      </c>
      <c r="V92" s="335"/>
      <c r="W92" s="335"/>
      <c r="X92" s="335"/>
      <c r="Y92" s="335"/>
      <c r="Z92" s="335"/>
      <c r="AA92" s="335"/>
      <c r="AB92" s="335"/>
      <c r="AC92" s="335"/>
      <c r="AD92" s="335"/>
      <c r="AE92" s="335"/>
      <c r="AF92" s="335"/>
      <c r="AG92" s="335"/>
      <c r="AH92" s="335"/>
      <c r="AI92" s="335"/>
      <c r="AJ92" s="96"/>
      <c r="AK92" s="566"/>
      <c r="AL92" s="566"/>
      <c r="AM92" s="566"/>
      <c r="AN92" s="566"/>
      <c r="AO92" s="566"/>
      <c r="AP92" s="566"/>
      <c r="AQ92" s="566"/>
      <c r="AR92" s="566"/>
      <c r="AS92" s="566"/>
      <c r="AT92" s="566"/>
      <c r="AU92" s="566"/>
      <c r="AV92" s="602">
        <f t="shared" si="32"/>
        <v>0</v>
      </c>
      <c r="AW92" s="337"/>
      <c r="AX92" s="337"/>
      <c r="AY92" s="337"/>
      <c r="AZ92" s="170"/>
      <c r="BA92" s="102"/>
      <c r="BB92" s="186"/>
      <c r="BC92" s="186"/>
      <c r="BD92" s="186"/>
      <c r="BE92" s="186"/>
    </row>
    <row r="93" spans="1:57" s="622" customFormat="1" ht="73.5" customHeight="1" outlineLevel="7" x14ac:dyDescent="0.25">
      <c r="A93" s="8" t="s">
        <v>54</v>
      </c>
      <c r="B93" s="9" t="s">
        <v>372</v>
      </c>
      <c r="C93" s="10" t="s">
        <v>227</v>
      </c>
      <c r="D93" s="337">
        <v>680</v>
      </c>
      <c r="E93" s="170">
        <v>326.2</v>
      </c>
      <c r="F93" s="176"/>
      <c r="G93" s="176"/>
      <c r="H93" s="176"/>
      <c r="I93" s="176">
        <v>326.2</v>
      </c>
      <c r="J93" s="176"/>
      <c r="K93" s="176"/>
      <c r="L93" s="176"/>
      <c r="M93" s="176"/>
      <c r="N93" s="176"/>
      <c r="O93" s="176"/>
      <c r="P93" s="176"/>
      <c r="Q93" s="176"/>
      <c r="R93" s="586">
        <f t="shared" si="42"/>
        <v>326.2</v>
      </c>
      <c r="S93" s="335">
        <f t="shared" si="31"/>
        <v>0</v>
      </c>
      <c r="T93" s="335"/>
      <c r="U93" s="335">
        <f t="shared" si="43"/>
        <v>0</v>
      </c>
      <c r="V93" s="335"/>
      <c r="W93" s="335"/>
      <c r="X93" s="335"/>
      <c r="Y93" s="335"/>
      <c r="Z93" s="335"/>
      <c r="AA93" s="335"/>
      <c r="AB93" s="335"/>
      <c r="AC93" s="335"/>
      <c r="AD93" s="335"/>
      <c r="AE93" s="335"/>
      <c r="AF93" s="335"/>
      <c r="AG93" s="335"/>
      <c r="AH93" s="335"/>
      <c r="AI93" s="335"/>
      <c r="AJ93" s="96"/>
      <c r="AK93" s="566"/>
      <c r="AL93" s="566"/>
      <c r="AM93" s="566"/>
      <c r="AN93" s="566"/>
      <c r="AO93" s="566"/>
      <c r="AP93" s="566"/>
      <c r="AQ93" s="566"/>
      <c r="AR93" s="566"/>
      <c r="AS93" s="566"/>
      <c r="AT93" s="566"/>
      <c r="AU93" s="566"/>
      <c r="AV93" s="602">
        <f t="shared" si="32"/>
        <v>0</v>
      </c>
      <c r="AW93" s="337"/>
      <c r="AX93" s="337"/>
      <c r="AY93" s="337"/>
      <c r="AZ93" s="170"/>
      <c r="BA93" s="102"/>
      <c r="BB93" s="186"/>
      <c r="BC93" s="186"/>
      <c r="BD93" s="186"/>
      <c r="BE93" s="186"/>
    </row>
    <row r="94" spans="1:57" s="622" customFormat="1" ht="72.75" customHeight="1" outlineLevel="7" x14ac:dyDescent="0.25">
      <c r="A94" s="8"/>
      <c r="B94" s="9" t="s">
        <v>373</v>
      </c>
      <c r="C94" s="10" t="s">
        <v>259</v>
      </c>
      <c r="D94" s="337">
        <v>226.7</v>
      </c>
      <c r="E94" s="170">
        <v>108.7</v>
      </c>
      <c r="F94" s="176"/>
      <c r="G94" s="176"/>
      <c r="H94" s="176"/>
      <c r="I94" s="176">
        <v>108.7</v>
      </c>
      <c r="J94" s="176"/>
      <c r="K94" s="176"/>
      <c r="L94" s="176"/>
      <c r="M94" s="176"/>
      <c r="N94" s="176"/>
      <c r="O94" s="176"/>
      <c r="P94" s="176"/>
      <c r="Q94" s="176"/>
      <c r="R94" s="586">
        <f t="shared" si="42"/>
        <v>108.7</v>
      </c>
      <c r="S94" s="335">
        <f t="shared" si="31"/>
        <v>0</v>
      </c>
      <c r="T94" s="335"/>
      <c r="U94" s="335">
        <f t="shared" si="43"/>
        <v>0</v>
      </c>
      <c r="V94" s="335"/>
      <c r="W94" s="335"/>
      <c r="X94" s="335"/>
      <c r="Y94" s="335"/>
      <c r="Z94" s="335"/>
      <c r="AA94" s="335"/>
      <c r="AB94" s="335"/>
      <c r="AC94" s="335"/>
      <c r="AD94" s="335"/>
      <c r="AE94" s="335"/>
      <c r="AF94" s="335"/>
      <c r="AG94" s="335"/>
      <c r="AH94" s="335"/>
      <c r="AI94" s="335"/>
      <c r="AJ94" s="96"/>
      <c r="AK94" s="566"/>
      <c r="AL94" s="566"/>
      <c r="AM94" s="566"/>
      <c r="AN94" s="566"/>
      <c r="AO94" s="566"/>
      <c r="AP94" s="566"/>
      <c r="AQ94" s="566"/>
      <c r="AR94" s="566"/>
      <c r="AS94" s="566"/>
      <c r="AT94" s="566"/>
      <c r="AU94" s="566"/>
      <c r="AV94" s="602">
        <f t="shared" si="32"/>
        <v>0</v>
      </c>
      <c r="AW94" s="337"/>
      <c r="AX94" s="337"/>
      <c r="AY94" s="337"/>
      <c r="AZ94" s="170"/>
      <c r="BA94" s="102"/>
      <c r="BB94" s="186"/>
      <c r="BC94" s="186"/>
      <c r="BD94" s="186"/>
      <c r="BE94" s="186"/>
    </row>
    <row r="95" spans="1:57" s="622" customFormat="1" ht="59.25" customHeight="1" outlineLevel="7" x14ac:dyDescent="0.25">
      <c r="A95" s="8" t="s">
        <v>54</v>
      </c>
      <c r="B95" s="9" t="s">
        <v>60</v>
      </c>
      <c r="C95" s="10" t="s">
        <v>59</v>
      </c>
      <c r="D95" s="337">
        <v>11728.2</v>
      </c>
      <c r="E95" s="335">
        <v>3369.3</v>
      </c>
      <c r="F95" s="176"/>
      <c r="G95" s="176"/>
      <c r="H95" s="176"/>
      <c r="I95" s="176"/>
      <c r="J95" s="176"/>
      <c r="K95" s="176">
        <v>3369.3</v>
      </c>
      <c r="L95" s="176"/>
      <c r="M95" s="176"/>
      <c r="N95" s="176"/>
      <c r="O95" s="176"/>
      <c r="P95" s="176"/>
      <c r="Q95" s="176"/>
      <c r="R95" s="586">
        <f t="shared" si="42"/>
        <v>3369.3</v>
      </c>
      <c r="S95" s="335">
        <f t="shared" si="31"/>
        <v>0</v>
      </c>
      <c r="T95" s="335"/>
      <c r="U95" s="335">
        <f t="shared" si="43"/>
        <v>0</v>
      </c>
      <c r="V95" s="335"/>
      <c r="W95" s="335"/>
      <c r="X95" s="335"/>
      <c r="Y95" s="335"/>
      <c r="Z95" s="335"/>
      <c r="AA95" s="335"/>
      <c r="AB95" s="335"/>
      <c r="AC95" s="335"/>
      <c r="AD95" s="335"/>
      <c r="AE95" s="335"/>
      <c r="AF95" s="335"/>
      <c r="AG95" s="335"/>
      <c r="AH95" s="335"/>
      <c r="AI95" s="335"/>
      <c r="AJ95" s="96"/>
      <c r="AK95" s="566"/>
      <c r="AL95" s="566"/>
      <c r="AM95" s="566"/>
      <c r="AN95" s="566"/>
      <c r="AO95" s="566"/>
      <c r="AP95" s="566"/>
      <c r="AQ95" s="566"/>
      <c r="AR95" s="566"/>
      <c r="AS95" s="566"/>
      <c r="AT95" s="566"/>
      <c r="AU95" s="566"/>
      <c r="AV95" s="602">
        <f t="shared" si="32"/>
        <v>0</v>
      </c>
      <c r="AW95" s="337"/>
      <c r="AX95" s="337"/>
      <c r="AY95" s="337"/>
      <c r="AZ95" s="170"/>
      <c r="BA95" s="102"/>
      <c r="BB95" s="186"/>
      <c r="BC95" s="186"/>
      <c r="BD95" s="186"/>
      <c r="BE95" s="186"/>
    </row>
    <row r="96" spans="1:57" s="622" customFormat="1" ht="66" customHeight="1" outlineLevel="7" x14ac:dyDescent="0.25">
      <c r="A96" s="8"/>
      <c r="B96" s="177" t="s">
        <v>90</v>
      </c>
      <c r="C96" s="10" t="s">
        <v>89</v>
      </c>
      <c r="D96" s="337">
        <v>3111.1</v>
      </c>
      <c r="E96" s="170">
        <v>3356.4</v>
      </c>
      <c r="F96" s="176"/>
      <c r="G96" s="176"/>
      <c r="H96" s="176"/>
      <c r="I96" s="176"/>
      <c r="J96" s="176"/>
      <c r="K96" s="176"/>
      <c r="L96" s="176"/>
      <c r="M96" s="176">
        <v>3072</v>
      </c>
      <c r="N96" s="176">
        <v>284.39999999999998</v>
      </c>
      <c r="O96" s="176"/>
      <c r="P96" s="176"/>
      <c r="Q96" s="176"/>
      <c r="R96" s="586">
        <f t="shared" si="42"/>
        <v>3356.4</v>
      </c>
      <c r="S96" s="335">
        <f t="shared" si="31"/>
        <v>0</v>
      </c>
      <c r="T96" s="335"/>
      <c r="U96" s="335">
        <f t="shared" si="43"/>
        <v>0</v>
      </c>
      <c r="V96" s="335"/>
      <c r="W96" s="335"/>
      <c r="X96" s="335"/>
      <c r="Y96" s="335"/>
      <c r="Z96" s="335"/>
      <c r="AA96" s="335"/>
      <c r="AB96" s="335"/>
      <c r="AC96" s="335"/>
      <c r="AD96" s="335"/>
      <c r="AE96" s="335"/>
      <c r="AF96" s="335"/>
      <c r="AG96" s="335"/>
      <c r="AH96" s="335"/>
      <c r="AI96" s="335"/>
      <c r="AJ96" s="96"/>
      <c r="AK96" s="566"/>
      <c r="AL96" s="566"/>
      <c r="AM96" s="566"/>
      <c r="AN96" s="566"/>
      <c r="AO96" s="566"/>
      <c r="AP96" s="566"/>
      <c r="AQ96" s="566"/>
      <c r="AR96" s="566"/>
      <c r="AS96" s="566"/>
      <c r="AT96" s="566"/>
      <c r="AU96" s="566"/>
      <c r="AV96" s="602">
        <f t="shared" si="32"/>
        <v>0</v>
      </c>
      <c r="AW96" s="337"/>
      <c r="AX96" s="337"/>
      <c r="AY96" s="337"/>
      <c r="AZ96" s="170"/>
      <c r="BA96" s="102"/>
      <c r="BB96" s="186"/>
      <c r="BC96" s="186"/>
      <c r="BD96" s="186"/>
      <c r="BE96" s="186"/>
    </row>
    <row r="97" spans="1:59" s="622" customFormat="1" ht="60" outlineLevel="7" x14ac:dyDescent="0.25">
      <c r="A97" s="8" t="s">
        <v>88</v>
      </c>
      <c r="B97" s="9" t="s">
        <v>94</v>
      </c>
      <c r="C97" s="10" t="s">
        <v>456</v>
      </c>
      <c r="D97" s="337">
        <v>3459.7</v>
      </c>
      <c r="E97" s="170">
        <v>3880.7</v>
      </c>
      <c r="F97" s="176"/>
      <c r="G97" s="176"/>
      <c r="H97" s="176"/>
      <c r="I97" s="176">
        <v>3323.7</v>
      </c>
      <c r="J97" s="176">
        <v>557</v>
      </c>
      <c r="K97" s="176"/>
      <c r="L97" s="176"/>
      <c r="M97" s="176"/>
      <c r="N97" s="176"/>
      <c r="O97" s="176"/>
      <c r="P97" s="176"/>
      <c r="Q97" s="176"/>
      <c r="R97" s="586">
        <f t="shared" si="42"/>
        <v>3880.7</v>
      </c>
      <c r="S97" s="335">
        <f t="shared" si="31"/>
        <v>0</v>
      </c>
      <c r="T97" s="335"/>
      <c r="U97" s="335">
        <f t="shared" si="43"/>
        <v>0</v>
      </c>
      <c r="V97" s="335"/>
      <c r="W97" s="335"/>
      <c r="X97" s="335"/>
      <c r="Y97" s="335"/>
      <c r="Z97" s="335"/>
      <c r="AA97" s="335"/>
      <c r="AB97" s="335"/>
      <c r="AC97" s="335"/>
      <c r="AD97" s="335"/>
      <c r="AE97" s="335"/>
      <c r="AF97" s="335"/>
      <c r="AG97" s="335"/>
      <c r="AH97" s="335"/>
      <c r="AI97" s="335"/>
      <c r="AJ97" s="96"/>
      <c r="AK97" s="566"/>
      <c r="AL97" s="566"/>
      <c r="AM97" s="566"/>
      <c r="AN97" s="566"/>
      <c r="AO97" s="566"/>
      <c r="AP97" s="566"/>
      <c r="AQ97" s="566"/>
      <c r="AR97" s="566"/>
      <c r="AS97" s="566"/>
      <c r="AT97" s="566"/>
      <c r="AU97" s="566"/>
      <c r="AV97" s="602">
        <f t="shared" si="32"/>
        <v>0</v>
      </c>
      <c r="AW97" s="337"/>
      <c r="AX97" s="337"/>
      <c r="AY97" s="337"/>
      <c r="AZ97" s="170"/>
      <c r="BA97" s="102"/>
      <c r="BB97" s="186"/>
      <c r="BC97" s="186"/>
      <c r="BD97" s="186"/>
      <c r="BE97" s="186"/>
    </row>
    <row r="98" spans="1:59" s="622" customFormat="1" ht="68.25" customHeight="1" outlineLevel="7" x14ac:dyDescent="0.25">
      <c r="A98" s="8" t="s">
        <v>95</v>
      </c>
      <c r="B98" s="9" t="s">
        <v>65</v>
      </c>
      <c r="C98" s="10" t="s">
        <v>64</v>
      </c>
      <c r="D98" s="337">
        <v>3302.3</v>
      </c>
      <c r="E98" s="170">
        <f>2397+1118.8</f>
        <v>3515.8</v>
      </c>
      <c r="F98" s="176"/>
      <c r="G98" s="176"/>
      <c r="H98" s="176"/>
      <c r="I98" s="176"/>
      <c r="J98" s="176"/>
      <c r="K98" s="176"/>
      <c r="L98" s="176">
        <v>2397</v>
      </c>
      <c r="M98" s="176">
        <v>1024</v>
      </c>
      <c r="N98" s="176">
        <v>94.8</v>
      </c>
      <c r="O98" s="176"/>
      <c r="P98" s="176"/>
      <c r="Q98" s="176"/>
      <c r="R98" s="586">
        <f t="shared" si="42"/>
        <v>3515.8</v>
      </c>
      <c r="S98" s="335">
        <f t="shared" si="31"/>
        <v>0</v>
      </c>
      <c r="T98" s="335"/>
      <c r="U98" s="335">
        <f t="shared" si="43"/>
        <v>0</v>
      </c>
      <c r="V98" s="335"/>
      <c r="W98" s="335"/>
      <c r="X98" s="335"/>
      <c r="Y98" s="335"/>
      <c r="Z98" s="335"/>
      <c r="AA98" s="335"/>
      <c r="AB98" s="335"/>
      <c r="AC98" s="335"/>
      <c r="AD98" s="335"/>
      <c r="AE98" s="335"/>
      <c r="AF98" s="335"/>
      <c r="AG98" s="335"/>
      <c r="AH98" s="335"/>
      <c r="AI98" s="335"/>
      <c r="AJ98" s="96"/>
      <c r="AK98" s="566"/>
      <c r="AL98" s="566"/>
      <c r="AM98" s="566"/>
      <c r="AN98" s="566"/>
      <c r="AO98" s="566"/>
      <c r="AP98" s="566"/>
      <c r="AQ98" s="566"/>
      <c r="AR98" s="566"/>
      <c r="AS98" s="566"/>
      <c r="AT98" s="566"/>
      <c r="AU98" s="566"/>
      <c r="AV98" s="602">
        <f t="shared" si="32"/>
        <v>0</v>
      </c>
      <c r="AW98" s="337"/>
      <c r="AX98" s="337"/>
      <c r="AY98" s="337"/>
      <c r="AZ98" s="170"/>
      <c r="BA98" s="102"/>
      <c r="BB98" s="186"/>
      <c r="BC98" s="186"/>
      <c r="BD98" s="186"/>
      <c r="BE98" s="186"/>
    </row>
    <row r="99" spans="1:59" s="622" customFormat="1" ht="56.25" customHeight="1" outlineLevel="7" x14ac:dyDescent="0.25">
      <c r="A99" s="8" t="s">
        <v>95</v>
      </c>
      <c r="B99" s="9" t="s">
        <v>67</v>
      </c>
      <c r="C99" s="10" t="s">
        <v>66</v>
      </c>
      <c r="D99" s="337">
        <v>3010.2</v>
      </c>
      <c r="E99" s="170">
        <v>2978.3</v>
      </c>
      <c r="F99" s="176"/>
      <c r="G99" s="176"/>
      <c r="H99" s="176"/>
      <c r="I99" s="176"/>
      <c r="J99" s="176"/>
      <c r="K99" s="176"/>
      <c r="L99" s="176"/>
      <c r="M99" s="176">
        <v>2953.6</v>
      </c>
      <c r="N99" s="176"/>
      <c r="O99" s="176">
        <v>24.7</v>
      </c>
      <c r="P99" s="176"/>
      <c r="Q99" s="176"/>
      <c r="R99" s="586">
        <f t="shared" si="42"/>
        <v>2978.2999999999997</v>
      </c>
      <c r="S99" s="335">
        <f t="shared" si="31"/>
        <v>0</v>
      </c>
      <c r="T99" s="335"/>
      <c r="U99" s="335">
        <f t="shared" si="43"/>
        <v>0</v>
      </c>
      <c r="V99" s="335"/>
      <c r="W99" s="335"/>
      <c r="X99" s="335"/>
      <c r="Y99" s="335"/>
      <c r="Z99" s="335"/>
      <c r="AA99" s="335"/>
      <c r="AB99" s="335"/>
      <c r="AC99" s="335"/>
      <c r="AD99" s="335"/>
      <c r="AE99" s="335"/>
      <c r="AF99" s="335"/>
      <c r="AG99" s="335"/>
      <c r="AH99" s="335"/>
      <c r="AI99" s="335"/>
      <c r="AJ99" s="96"/>
      <c r="AK99" s="566"/>
      <c r="AL99" s="566"/>
      <c r="AM99" s="566"/>
      <c r="AN99" s="566"/>
      <c r="AO99" s="566"/>
      <c r="AP99" s="566"/>
      <c r="AQ99" s="566"/>
      <c r="AR99" s="566"/>
      <c r="AS99" s="566"/>
      <c r="AT99" s="566"/>
      <c r="AU99" s="566"/>
      <c r="AV99" s="602">
        <f t="shared" si="32"/>
        <v>0</v>
      </c>
      <c r="AW99" s="337"/>
      <c r="AX99" s="337"/>
      <c r="AY99" s="337"/>
      <c r="AZ99" s="170"/>
      <c r="BA99" s="102"/>
      <c r="BB99" s="186"/>
      <c r="BC99" s="186"/>
      <c r="BD99" s="186"/>
      <c r="BE99" s="186"/>
    </row>
    <row r="100" spans="1:59" s="622" customFormat="1" ht="46.5" customHeight="1" outlineLevel="7" x14ac:dyDescent="0.25">
      <c r="A100" s="8"/>
      <c r="B100" s="180" t="s">
        <v>472</v>
      </c>
      <c r="C100" s="10" t="s">
        <v>480</v>
      </c>
      <c r="D100" s="337">
        <v>802.5</v>
      </c>
      <c r="E100" s="170">
        <v>171.9</v>
      </c>
      <c r="F100" s="176"/>
      <c r="G100" s="176"/>
      <c r="H100" s="176"/>
      <c r="I100" s="176"/>
      <c r="J100" s="176"/>
      <c r="K100" s="176"/>
      <c r="L100" s="176"/>
      <c r="M100" s="176">
        <v>171.9</v>
      </c>
      <c r="N100" s="176"/>
      <c r="O100" s="176"/>
      <c r="P100" s="176"/>
      <c r="Q100" s="176"/>
      <c r="R100" s="586">
        <f t="shared" si="42"/>
        <v>171.9</v>
      </c>
      <c r="S100" s="335">
        <f t="shared" si="31"/>
        <v>0</v>
      </c>
      <c r="T100" s="335"/>
      <c r="U100" s="335">
        <f t="shared" si="43"/>
        <v>0</v>
      </c>
      <c r="V100" s="335"/>
      <c r="W100" s="335"/>
      <c r="X100" s="335"/>
      <c r="Y100" s="335"/>
      <c r="Z100" s="335"/>
      <c r="AA100" s="335"/>
      <c r="AB100" s="335"/>
      <c r="AC100" s="335"/>
      <c r="AD100" s="335"/>
      <c r="AE100" s="335"/>
      <c r="AF100" s="335"/>
      <c r="AG100" s="335"/>
      <c r="AH100" s="335"/>
      <c r="AI100" s="335"/>
      <c r="AJ100" s="96"/>
      <c r="AK100" s="566"/>
      <c r="AL100" s="566"/>
      <c r="AM100" s="566"/>
      <c r="AN100" s="566"/>
      <c r="AO100" s="566"/>
      <c r="AP100" s="566"/>
      <c r="AQ100" s="566"/>
      <c r="AR100" s="566"/>
      <c r="AS100" s="566"/>
      <c r="AT100" s="566"/>
      <c r="AU100" s="566"/>
      <c r="AV100" s="602">
        <f t="shared" si="32"/>
        <v>0</v>
      </c>
      <c r="AW100" s="337"/>
      <c r="AX100" s="337"/>
      <c r="AY100" s="337"/>
      <c r="AZ100" s="170"/>
      <c r="BA100" s="102"/>
      <c r="BB100" s="186"/>
      <c r="BC100" s="186"/>
      <c r="BD100" s="186"/>
      <c r="BE100" s="186"/>
    </row>
    <row r="101" spans="1:59" s="622" customFormat="1" ht="60" outlineLevel="7" x14ac:dyDescent="0.25">
      <c r="A101" s="8" t="s">
        <v>95</v>
      </c>
      <c r="B101" s="180" t="s">
        <v>135</v>
      </c>
      <c r="C101" s="10" t="s">
        <v>457</v>
      </c>
      <c r="D101" s="337">
        <v>4520.1000000000004</v>
      </c>
      <c r="E101" s="170">
        <v>3462.9</v>
      </c>
      <c r="F101" s="176"/>
      <c r="G101" s="176"/>
      <c r="H101" s="176"/>
      <c r="I101" s="176">
        <v>3277.3</v>
      </c>
      <c r="J101" s="176">
        <v>185.7</v>
      </c>
      <c r="K101" s="176"/>
      <c r="L101" s="176"/>
      <c r="M101" s="176"/>
      <c r="N101" s="176"/>
      <c r="O101" s="176"/>
      <c r="P101" s="176"/>
      <c r="Q101" s="176"/>
      <c r="R101" s="586">
        <v>3462.9</v>
      </c>
      <c r="S101" s="335">
        <f t="shared" si="31"/>
        <v>0</v>
      </c>
      <c r="T101" s="335"/>
      <c r="U101" s="335">
        <f t="shared" si="43"/>
        <v>0</v>
      </c>
      <c r="V101" s="335"/>
      <c r="W101" s="335"/>
      <c r="X101" s="335"/>
      <c r="Y101" s="335"/>
      <c r="Z101" s="335"/>
      <c r="AA101" s="335"/>
      <c r="AB101" s="335"/>
      <c r="AC101" s="335"/>
      <c r="AD101" s="335"/>
      <c r="AE101" s="335"/>
      <c r="AF101" s="335"/>
      <c r="AG101" s="335"/>
      <c r="AH101" s="335"/>
      <c r="AI101" s="335"/>
      <c r="AJ101" s="96"/>
      <c r="AK101" s="566"/>
      <c r="AL101" s="566"/>
      <c r="AM101" s="566"/>
      <c r="AN101" s="566"/>
      <c r="AO101" s="566"/>
      <c r="AP101" s="566"/>
      <c r="AQ101" s="566"/>
      <c r="AR101" s="566"/>
      <c r="AS101" s="566"/>
      <c r="AT101" s="566"/>
      <c r="AU101" s="566"/>
      <c r="AV101" s="602">
        <f t="shared" si="32"/>
        <v>0</v>
      </c>
      <c r="AW101" s="337"/>
      <c r="AX101" s="337"/>
      <c r="AY101" s="337"/>
      <c r="AZ101" s="170"/>
      <c r="BA101" s="102"/>
      <c r="BB101" s="186"/>
      <c r="BC101" s="186"/>
      <c r="BD101" s="186"/>
      <c r="BE101" s="186"/>
    </row>
    <row r="102" spans="1:59" s="622" customFormat="1" ht="86.25" customHeight="1" outlineLevel="7" x14ac:dyDescent="0.25">
      <c r="A102" s="8"/>
      <c r="B102" s="2" t="s">
        <v>458</v>
      </c>
      <c r="C102" s="10" t="s">
        <v>87</v>
      </c>
      <c r="D102" s="337">
        <v>9080.7999999999993</v>
      </c>
      <c r="E102" s="170">
        <v>2088.9</v>
      </c>
      <c r="F102" s="176"/>
      <c r="G102" s="176"/>
      <c r="H102" s="176"/>
      <c r="I102" s="176"/>
      <c r="J102" s="176">
        <v>2088.9</v>
      </c>
      <c r="K102" s="176"/>
      <c r="L102" s="176"/>
      <c r="M102" s="176"/>
      <c r="N102" s="176"/>
      <c r="O102" s="176"/>
      <c r="P102" s="176"/>
      <c r="Q102" s="176"/>
      <c r="R102" s="586">
        <f>SUM(F102:Q102)</f>
        <v>2088.9</v>
      </c>
      <c r="S102" s="335">
        <f t="shared" si="31"/>
        <v>0</v>
      </c>
      <c r="T102" s="335"/>
      <c r="U102" s="335">
        <f t="shared" si="43"/>
        <v>0</v>
      </c>
      <c r="V102" s="335"/>
      <c r="W102" s="335"/>
      <c r="X102" s="335"/>
      <c r="Y102" s="335"/>
      <c r="Z102" s="335"/>
      <c r="AA102" s="335"/>
      <c r="AB102" s="335"/>
      <c r="AC102" s="335"/>
      <c r="AD102" s="335"/>
      <c r="AE102" s="335"/>
      <c r="AF102" s="335"/>
      <c r="AG102" s="335"/>
      <c r="AH102" s="335"/>
      <c r="AI102" s="335"/>
      <c r="AJ102" s="96"/>
      <c r="AK102" s="566"/>
      <c r="AL102" s="566"/>
      <c r="AM102" s="566"/>
      <c r="AN102" s="566"/>
      <c r="AO102" s="566"/>
      <c r="AP102" s="566"/>
      <c r="AQ102" s="566"/>
      <c r="AR102" s="566"/>
      <c r="AS102" s="566"/>
      <c r="AT102" s="566"/>
      <c r="AU102" s="566"/>
      <c r="AV102" s="602">
        <f t="shared" si="32"/>
        <v>0</v>
      </c>
      <c r="AW102" s="337"/>
      <c r="AX102" s="337"/>
      <c r="AY102" s="337"/>
      <c r="AZ102" s="170"/>
      <c r="BA102" s="102"/>
      <c r="BB102" s="186"/>
      <c r="BC102" s="186"/>
      <c r="BD102" s="186"/>
      <c r="BE102" s="186"/>
    </row>
    <row r="103" spans="1:59" s="622" customFormat="1" ht="70.5" customHeight="1" outlineLevel="7" x14ac:dyDescent="0.25">
      <c r="A103" s="8"/>
      <c r="B103" s="292" t="s">
        <v>355</v>
      </c>
      <c r="C103" s="247" t="s">
        <v>282</v>
      </c>
      <c r="D103" s="337">
        <v>1244.9000000000001</v>
      </c>
      <c r="E103" s="170">
        <f>2314.9-20.2</f>
        <v>2294.7000000000003</v>
      </c>
      <c r="F103" s="253"/>
      <c r="G103" s="253"/>
      <c r="H103" s="253">
        <v>965.1</v>
      </c>
      <c r="I103" s="253"/>
      <c r="J103" s="253"/>
      <c r="K103" s="253">
        <v>722.5</v>
      </c>
      <c r="L103" s="253"/>
      <c r="M103" s="253"/>
      <c r="N103" s="253"/>
      <c r="O103" s="253">
        <v>11.6</v>
      </c>
      <c r="P103" s="253"/>
      <c r="Q103" s="253">
        <v>595.5</v>
      </c>
      <c r="R103" s="586">
        <f t="shared" si="41"/>
        <v>2294.6999999999998</v>
      </c>
      <c r="S103" s="335">
        <f t="shared" si="31"/>
        <v>0</v>
      </c>
      <c r="T103" s="335"/>
      <c r="U103" s="335"/>
      <c r="V103" s="335"/>
      <c r="W103" s="335"/>
      <c r="X103" s="335"/>
      <c r="Y103" s="335"/>
      <c r="Z103" s="335"/>
      <c r="AA103" s="335"/>
      <c r="AB103" s="335"/>
      <c r="AC103" s="335"/>
      <c r="AD103" s="335"/>
      <c r="AE103" s="335"/>
      <c r="AF103" s="335"/>
      <c r="AG103" s="335"/>
      <c r="AH103" s="335"/>
      <c r="AI103" s="335"/>
      <c r="AJ103" s="96"/>
      <c r="AK103" s="566"/>
      <c r="AL103" s="566"/>
      <c r="AM103" s="566"/>
      <c r="AN103" s="566"/>
      <c r="AO103" s="566"/>
      <c r="AP103" s="566"/>
      <c r="AQ103" s="566"/>
      <c r="AR103" s="566"/>
      <c r="AS103" s="566"/>
      <c r="AT103" s="566"/>
      <c r="AU103" s="566"/>
      <c r="AV103" s="602">
        <f t="shared" si="32"/>
        <v>0</v>
      </c>
      <c r="AW103" s="337"/>
      <c r="AX103" s="337"/>
      <c r="AY103" s="337"/>
      <c r="AZ103" s="170"/>
      <c r="BA103" s="102"/>
      <c r="BB103" s="186"/>
      <c r="BC103" s="186"/>
      <c r="BD103" s="186"/>
      <c r="BE103" s="186"/>
    </row>
    <row r="104" spans="1:59" s="622" customFormat="1" ht="66.75" customHeight="1" outlineLevel="7" x14ac:dyDescent="0.25">
      <c r="A104" s="8"/>
      <c r="B104" s="21" t="s">
        <v>354</v>
      </c>
      <c r="C104" s="291" t="s">
        <v>336</v>
      </c>
      <c r="D104" s="337">
        <v>3734.5</v>
      </c>
      <c r="E104" s="170">
        <f>6944.8-60.7</f>
        <v>6884.1</v>
      </c>
      <c r="F104" s="176"/>
      <c r="G104" s="176"/>
      <c r="H104" s="176">
        <v>2895.3</v>
      </c>
      <c r="I104" s="176"/>
      <c r="J104" s="176"/>
      <c r="K104" s="176">
        <v>2167.4</v>
      </c>
      <c r="L104" s="176"/>
      <c r="M104" s="176"/>
      <c r="N104" s="176"/>
      <c r="O104" s="176">
        <v>35</v>
      </c>
      <c r="P104" s="176"/>
      <c r="Q104" s="176">
        <v>1786.4</v>
      </c>
      <c r="R104" s="586">
        <f t="shared" si="41"/>
        <v>6884.1</v>
      </c>
      <c r="S104" s="335">
        <f t="shared" si="31"/>
        <v>0</v>
      </c>
      <c r="T104" s="335"/>
      <c r="U104" s="335">
        <f t="shared" si="33"/>
        <v>0</v>
      </c>
      <c r="V104" s="335"/>
      <c r="W104" s="335"/>
      <c r="X104" s="335"/>
      <c r="Y104" s="335"/>
      <c r="Z104" s="335"/>
      <c r="AA104" s="335"/>
      <c r="AB104" s="335"/>
      <c r="AC104" s="335"/>
      <c r="AD104" s="335"/>
      <c r="AE104" s="335"/>
      <c r="AF104" s="335"/>
      <c r="AG104" s="335"/>
      <c r="AH104" s="335"/>
      <c r="AI104" s="335"/>
      <c r="AJ104" s="96"/>
      <c r="AK104" s="566"/>
      <c r="AL104" s="566"/>
      <c r="AM104" s="566"/>
      <c r="AN104" s="566"/>
      <c r="AO104" s="566"/>
      <c r="AP104" s="566"/>
      <c r="AQ104" s="566"/>
      <c r="AR104" s="566"/>
      <c r="AS104" s="566"/>
      <c r="AT104" s="566"/>
      <c r="AU104" s="566"/>
      <c r="AV104" s="602">
        <f t="shared" si="32"/>
        <v>0</v>
      </c>
      <c r="AW104" s="337"/>
      <c r="AX104" s="337"/>
      <c r="AY104" s="337"/>
      <c r="AZ104" s="170"/>
      <c r="BA104" s="102"/>
      <c r="BB104" s="186"/>
      <c r="BC104" s="186"/>
      <c r="BD104" s="186"/>
      <c r="BE104" s="186"/>
    </row>
    <row r="105" spans="1:59" s="622" customFormat="1" ht="71.25" customHeight="1" outlineLevel="7" x14ac:dyDescent="0.25">
      <c r="A105" s="8"/>
      <c r="B105" s="2" t="s">
        <v>681</v>
      </c>
      <c r="C105" s="10" t="s">
        <v>591</v>
      </c>
      <c r="D105" s="337"/>
      <c r="E105" s="170">
        <v>4629.3999999999996</v>
      </c>
      <c r="F105" s="176"/>
      <c r="G105" s="176"/>
      <c r="H105" s="176"/>
      <c r="I105" s="176"/>
      <c r="J105" s="176"/>
      <c r="K105" s="176"/>
      <c r="L105" s="176"/>
      <c r="M105" s="176">
        <v>4629.3</v>
      </c>
      <c r="N105" s="176"/>
      <c r="O105" s="176"/>
      <c r="P105" s="176"/>
      <c r="Q105" s="176">
        <v>0.1</v>
      </c>
      <c r="R105" s="586">
        <f t="shared" si="41"/>
        <v>4629.4000000000005</v>
      </c>
      <c r="S105" s="335">
        <f t="shared" si="31"/>
        <v>0</v>
      </c>
      <c r="T105" s="335"/>
      <c r="U105" s="335">
        <f t="shared" si="33"/>
        <v>0</v>
      </c>
      <c r="V105" s="335"/>
      <c r="W105" s="335"/>
      <c r="X105" s="335"/>
      <c r="Y105" s="335"/>
      <c r="Z105" s="335"/>
      <c r="AA105" s="335"/>
      <c r="AB105" s="335"/>
      <c r="AC105" s="335"/>
      <c r="AD105" s="335"/>
      <c r="AE105" s="335"/>
      <c r="AF105" s="335"/>
      <c r="AG105" s="335"/>
      <c r="AH105" s="335"/>
      <c r="AI105" s="335"/>
      <c r="AJ105" s="96"/>
      <c r="AK105" s="566"/>
      <c r="AL105" s="566"/>
      <c r="AM105" s="566"/>
      <c r="AN105" s="566"/>
      <c r="AO105" s="566"/>
      <c r="AP105" s="566"/>
      <c r="AQ105" s="566"/>
      <c r="AR105" s="566"/>
      <c r="AS105" s="566"/>
      <c r="AT105" s="566"/>
      <c r="AU105" s="566"/>
      <c r="AV105" s="602">
        <f t="shared" si="32"/>
        <v>0</v>
      </c>
      <c r="AW105" s="337"/>
      <c r="AX105" s="337"/>
      <c r="AY105" s="337"/>
      <c r="AZ105" s="170"/>
      <c r="BA105" s="102"/>
      <c r="BB105" s="186"/>
      <c r="BC105" s="186"/>
      <c r="BD105" s="186"/>
      <c r="BE105" s="186"/>
    </row>
    <row r="106" spans="1:59" s="622" customFormat="1" ht="21.75" customHeight="1" outlineLevel="7" x14ac:dyDescent="0.25">
      <c r="A106" s="8"/>
      <c r="B106" s="593" t="s">
        <v>143</v>
      </c>
      <c r="C106" s="594"/>
      <c r="D106" s="595" t="e">
        <f>D107+D112+D108+D109+D114+#REF!+D115+D110+D111+#REF!</f>
        <v>#REF!</v>
      </c>
      <c r="E106" s="595" t="e">
        <f>E107+E112+E108+E109+E114+#REF!+E115+E110+E111+#REF!+E113</f>
        <v>#REF!</v>
      </c>
      <c r="F106" s="595" t="e">
        <f>F107+F112+F108+F109+F114+#REF!+F115+F110+F111+#REF!+F113</f>
        <v>#REF!</v>
      </c>
      <c r="G106" s="595" t="e">
        <f>G107+G112+G108+G109+G114+#REF!+G115+G110+G111+#REF!+G113</f>
        <v>#REF!</v>
      </c>
      <c r="H106" s="595" t="e">
        <f>H107+H112+H108+H109+H114+#REF!+H115+H110+H111+#REF!+H113</f>
        <v>#REF!</v>
      </c>
      <c r="I106" s="595" t="e">
        <f>I107+I112+I108+I109+I114+#REF!+I115+I110+I111+#REF!+I113</f>
        <v>#REF!</v>
      </c>
      <c r="J106" s="595" t="e">
        <f>J107+J112+J108+J109+J114+#REF!+J115+J110+J111+#REF!+J113</f>
        <v>#REF!</v>
      </c>
      <c r="K106" s="595" t="e">
        <f>K107+K112+K108+K109+K114+#REF!+K115+K110+K111+#REF!+K113</f>
        <v>#REF!</v>
      </c>
      <c r="L106" s="595" t="e">
        <f>L107+L112+L108+L109+L114+#REF!+L115+L110+L111+#REF!+L113</f>
        <v>#REF!</v>
      </c>
      <c r="M106" s="595" t="e">
        <f>M107+M112+M108+M109+M114+#REF!+M115+M110+M111+#REF!+M113</f>
        <v>#REF!</v>
      </c>
      <c r="N106" s="595" t="e">
        <f>N107+N112+N108+N109+N114+#REF!+N115+N110+N111+#REF!+N113</f>
        <v>#REF!</v>
      </c>
      <c r="O106" s="595" t="e">
        <f>O107+O112+O108+O109+O114+#REF!+O115+O110+O111+#REF!+O113</f>
        <v>#REF!</v>
      </c>
      <c r="P106" s="595" t="e">
        <f>P107+P112+P108+P109+P114+#REF!+P115+P110+P111+#REF!+P113</f>
        <v>#REF!</v>
      </c>
      <c r="Q106" s="595" t="e">
        <f>Q107+Q112+Q108+Q109+Q114+#REF!+Q115+Q110+Q111+#REF!+Q113</f>
        <v>#REF!</v>
      </c>
      <c r="R106" s="595">
        <f>R107+R112+R108+R109+R114+R115+R110+R111+R113</f>
        <v>45082.5</v>
      </c>
      <c r="S106" s="595">
        <f t="shared" ref="S106:AY106" si="44">S107+S112+S108+S109+S114+S115+S110+S111+S113</f>
        <v>9994.6</v>
      </c>
      <c r="T106" s="595">
        <f t="shared" si="44"/>
        <v>1547.8000000000002</v>
      </c>
      <c r="U106" s="595">
        <f t="shared" si="44"/>
        <v>1600.8</v>
      </c>
      <c r="V106" s="595">
        <f t="shared" si="44"/>
        <v>0</v>
      </c>
      <c r="W106" s="595">
        <f t="shared" si="44"/>
        <v>293.40000000000003</v>
      </c>
      <c r="X106" s="595">
        <f t="shared" si="44"/>
        <v>0</v>
      </c>
      <c r="Y106" s="595">
        <f t="shared" si="44"/>
        <v>293.40000000000003</v>
      </c>
      <c r="Z106" s="595">
        <f t="shared" si="44"/>
        <v>0</v>
      </c>
      <c r="AA106" s="595">
        <f t="shared" si="44"/>
        <v>0</v>
      </c>
      <c r="AB106" s="595">
        <f t="shared" si="44"/>
        <v>0</v>
      </c>
      <c r="AC106" s="595">
        <f t="shared" si="44"/>
        <v>0</v>
      </c>
      <c r="AD106" s="595">
        <f t="shared" si="44"/>
        <v>0</v>
      </c>
      <c r="AE106" s="595">
        <f t="shared" si="44"/>
        <v>0</v>
      </c>
      <c r="AF106" s="595">
        <f t="shared" si="44"/>
        <v>0</v>
      </c>
      <c r="AG106" s="595">
        <f t="shared" si="44"/>
        <v>0</v>
      </c>
      <c r="AH106" s="595">
        <f t="shared" si="44"/>
        <v>0</v>
      </c>
      <c r="AI106" s="595">
        <f t="shared" si="44"/>
        <v>0</v>
      </c>
      <c r="AJ106" s="595">
        <f t="shared" si="44"/>
        <v>0</v>
      </c>
      <c r="AK106" s="595">
        <f t="shared" si="44"/>
        <v>293.40000000000003</v>
      </c>
      <c r="AL106" s="595">
        <f t="shared" si="44"/>
        <v>0</v>
      </c>
      <c r="AM106" s="595">
        <f t="shared" si="44"/>
        <v>0</v>
      </c>
      <c r="AN106" s="595">
        <f t="shared" si="44"/>
        <v>0</v>
      </c>
      <c r="AO106" s="595">
        <f t="shared" si="44"/>
        <v>0</v>
      </c>
      <c r="AP106" s="595">
        <f t="shared" si="44"/>
        <v>0</v>
      </c>
      <c r="AQ106" s="595">
        <f t="shared" si="44"/>
        <v>0</v>
      </c>
      <c r="AR106" s="595">
        <f t="shared" si="44"/>
        <v>0</v>
      </c>
      <c r="AS106" s="595">
        <f t="shared" si="44"/>
        <v>0</v>
      </c>
      <c r="AT106" s="595">
        <f t="shared" si="44"/>
        <v>0</v>
      </c>
      <c r="AU106" s="595">
        <f t="shared" si="44"/>
        <v>0</v>
      </c>
      <c r="AV106" s="595">
        <f t="shared" si="44"/>
        <v>293.40000000000003</v>
      </c>
      <c r="AW106" s="595">
        <f t="shared" si="44"/>
        <v>0</v>
      </c>
      <c r="AX106" s="595">
        <f t="shared" ref="AX106" si="45">AX107+AX112+AX108+AX109+AX114+AX115+AX110+AX111+AX113</f>
        <v>0</v>
      </c>
      <c r="AY106" s="595">
        <f t="shared" si="44"/>
        <v>0</v>
      </c>
      <c r="AZ106" s="169"/>
      <c r="BA106" s="338"/>
      <c r="BB106" s="187"/>
      <c r="BC106" s="338"/>
      <c r="BD106" s="187"/>
      <c r="BE106" s="187"/>
      <c r="BG106" s="72"/>
    </row>
    <row r="107" spans="1:59" s="19" customFormat="1" ht="63" customHeight="1" outlineLevel="7" x14ac:dyDescent="0.25">
      <c r="A107" s="18"/>
      <c r="B107" s="9" t="s">
        <v>332</v>
      </c>
      <c r="C107" s="20" t="s">
        <v>275</v>
      </c>
      <c r="D107" s="337"/>
      <c r="E107" s="170">
        <v>1556</v>
      </c>
      <c r="F107" s="176"/>
      <c r="G107" s="176"/>
      <c r="H107" s="176"/>
      <c r="I107" s="176"/>
      <c r="J107" s="176"/>
      <c r="K107" s="176">
        <v>980.6</v>
      </c>
      <c r="L107" s="176"/>
      <c r="M107" s="176">
        <v>93</v>
      </c>
      <c r="N107" s="176">
        <v>135</v>
      </c>
      <c r="O107" s="176">
        <v>135</v>
      </c>
      <c r="P107" s="176">
        <v>135</v>
      </c>
      <c r="Q107" s="176">
        <v>77.400000000000006</v>
      </c>
      <c r="R107" s="586">
        <f t="shared" ref="R107:R116" si="46">SUM(F107:Q107)</f>
        <v>1556</v>
      </c>
      <c r="S107" s="335">
        <f t="shared" si="31"/>
        <v>0</v>
      </c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566"/>
      <c r="AK107" s="566"/>
      <c r="AL107" s="566"/>
      <c r="AM107" s="566"/>
      <c r="AN107" s="566"/>
      <c r="AO107" s="566"/>
      <c r="AP107" s="566"/>
      <c r="AQ107" s="566"/>
      <c r="AR107" s="566"/>
      <c r="AS107" s="566"/>
      <c r="AT107" s="566"/>
      <c r="AU107" s="566"/>
      <c r="AV107" s="602">
        <f t="shared" si="32"/>
        <v>0</v>
      </c>
      <c r="AW107" s="337"/>
      <c r="AX107" s="337"/>
      <c r="AY107" s="337"/>
      <c r="AZ107" s="170"/>
      <c r="BA107" s="102"/>
      <c r="BB107" s="186"/>
      <c r="BC107" s="186"/>
      <c r="BD107" s="186"/>
      <c r="BE107" s="186"/>
      <c r="BG107" s="204"/>
    </row>
    <row r="108" spans="1:59" s="19" customFormat="1" ht="79.5" customHeight="1" outlineLevel="7" x14ac:dyDescent="0.25">
      <c r="A108" s="18"/>
      <c r="B108" s="228" t="s">
        <v>376</v>
      </c>
      <c r="C108" s="20" t="s">
        <v>363</v>
      </c>
      <c r="D108" s="337"/>
      <c r="E108" s="170">
        <v>1541.7</v>
      </c>
      <c r="F108" s="176"/>
      <c r="G108" s="176">
        <v>268.39999999999998</v>
      </c>
      <c r="H108" s="176">
        <f>135.2-5.4</f>
        <v>129.79999999999998</v>
      </c>
      <c r="I108" s="176">
        <v>129.80000000000001</v>
      </c>
      <c r="J108" s="176">
        <v>435.6</v>
      </c>
      <c r="K108" s="176"/>
      <c r="L108" s="176">
        <v>44</v>
      </c>
      <c r="M108" s="176">
        <v>44</v>
      </c>
      <c r="N108" s="176">
        <v>129.80000000000001</v>
      </c>
      <c r="O108" s="176">
        <v>129.80000000000001</v>
      </c>
      <c r="P108" s="176">
        <v>129.80000000000001</v>
      </c>
      <c r="Q108" s="176">
        <v>100.7</v>
      </c>
      <c r="R108" s="586">
        <f>SUM(F108:Q108)</f>
        <v>1541.6999999999998</v>
      </c>
      <c r="S108" s="335">
        <f t="shared" si="31"/>
        <v>268.39999999999998</v>
      </c>
      <c r="T108" s="337">
        <v>1454.9</v>
      </c>
      <c r="U108" s="337">
        <v>1504.7</v>
      </c>
      <c r="V108" s="337"/>
      <c r="W108" s="335">
        <f>AV108</f>
        <v>275.8</v>
      </c>
      <c r="X108" s="337"/>
      <c r="Y108" s="335">
        <f>AK108</f>
        <v>275.8</v>
      </c>
      <c r="Z108" s="335"/>
      <c r="AA108" s="335"/>
      <c r="AB108" s="335"/>
      <c r="AC108" s="335"/>
      <c r="AD108" s="335"/>
      <c r="AE108" s="335"/>
      <c r="AF108" s="335"/>
      <c r="AG108" s="335"/>
      <c r="AH108" s="335"/>
      <c r="AI108" s="335"/>
      <c r="AJ108" s="571"/>
      <c r="AK108" s="571">
        <v>275.8</v>
      </c>
      <c r="AL108" s="566"/>
      <c r="AM108" s="566"/>
      <c r="AN108" s="566"/>
      <c r="AO108" s="566"/>
      <c r="AP108" s="566"/>
      <c r="AQ108" s="566"/>
      <c r="AR108" s="566"/>
      <c r="AS108" s="566"/>
      <c r="AT108" s="566"/>
      <c r="AU108" s="566"/>
      <c r="AV108" s="602">
        <f>AU108+AT108+AS108+AR108+AQ108+AP108+AO108+AN108+AM108+AL108+AK108+AJ108</f>
        <v>275.8</v>
      </c>
      <c r="AW108" s="337"/>
      <c r="AX108" s="337"/>
      <c r="AY108" s="337"/>
      <c r="AZ108" s="170"/>
      <c r="BA108" s="102"/>
      <c r="BB108" s="186"/>
      <c r="BC108" s="186"/>
      <c r="BD108" s="186"/>
      <c r="BE108" s="186"/>
      <c r="BG108" s="204"/>
    </row>
    <row r="109" spans="1:59" s="19" customFormat="1" ht="81" customHeight="1" outlineLevel="7" x14ac:dyDescent="0.25">
      <c r="A109" s="18"/>
      <c r="B109" s="229" t="s">
        <v>375</v>
      </c>
      <c r="C109" s="20" t="s">
        <v>362</v>
      </c>
      <c r="D109" s="337">
        <v>64</v>
      </c>
      <c r="E109" s="170">
        <v>64.2</v>
      </c>
      <c r="F109" s="176"/>
      <c r="G109" s="176">
        <v>11.2</v>
      </c>
      <c r="H109" s="176">
        <v>5.4</v>
      </c>
      <c r="I109" s="176">
        <v>5.4</v>
      </c>
      <c r="J109" s="176">
        <v>18.100000000000001</v>
      </c>
      <c r="K109" s="176"/>
      <c r="L109" s="176">
        <v>1.8</v>
      </c>
      <c r="M109" s="176">
        <v>1.9</v>
      </c>
      <c r="N109" s="176">
        <v>5.4</v>
      </c>
      <c r="O109" s="176">
        <v>5.4</v>
      </c>
      <c r="P109" s="176">
        <v>5.4</v>
      </c>
      <c r="Q109" s="176">
        <v>4.2</v>
      </c>
      <c r="R109" s="586">
        <f>SUM(F109:Q109)</f>
        <v>64.199999999999989</v>
      </c>
      <c r="S109" s="335">
        <f t="shared" si="31"/>
        <v>11.2</v>
      </c>
      <c r="T109" s="337">
        <v>92.9</v>
      </c>
      <c r="U109" s="337">
        <v>96.1</v>
      </c>
      <c r="V109" s="337"/>
      <c r="W109" s="335">
        <f>AV109</f>
        <v>17.600000000000001</v>
      </c>
      <c r="X109" s="337"/>
      <c r="Y109" s="335">
        <f>AK109</f>
        <v>17.600000000000001</v>
      </c>
      <c r="Z109" s="335"/>
      <c r="AA109" s="335"/>
      <c r="AB109" s="335"/>
      <c r="AC109" s="335"/>
      <c r="AD109" s="335"/>
      <c r="AE109" s="335"/>
      <c r="AF109" s="335"/>
      <c r="AG109" s="335"/>
      <c r="AH109" s="335"/>
      <c r="AI109" s="335"/>
      <c r="AJ109" s="571"/>
      <c r="AK109" s="571">
        <v>17.600000000000001</v>
      </c>
      <c r="AL109" s="566"/>
      <c r="AM109" s="566"/>
      <c r="AN109" s="566"/>
      <c r="AO109" s="566"/>
      <c r="AP109" s="566"/>
      <c r="AQ109" s="566"/>
      <c r="AR109" s="566"/>
      <c r="AS109" s="566"/>
      <c r="AT109" s="566"/>
      <c r="AU109" s="566"/>
      <c r="AV109" s="602">
        <f>AU109+AT109+AS109+AR109+AQ109+AP109+AO109+AN109+AM109+AL109+AK109+AJ109</f>
        <v>17.600000000000001</v>
      </c>
      <c r="AW109" s="337"/>
      <c r="AX109" s="337"/>
      <c r="AY109" s="337"/>
      <c r="AZ109" s="170"/>
      <c r="BA109" s="102"/>
      <c r="BB109" s="186"/>
      <c r="BC109" s="186"/>
      <c r="BD109" s="186"/>
      <c r="BE109" s="186"/>
      <c r="BG109" s="204"/>
    </row>
    <row r="110" spans="1:59" s="19" customFormat="1" ht="23.25" customHeight="1" outlineLevel="7" x14ac:dyDescent="0.25">
      <c r="A110" s="18"/>
      <c r="B110" s="133" t="s">
        <v>229</v>
      </c>
      <c r="C110" s="20" t="s">
        <v>230</v>
      </c>
      <c r="D110" s="337"/>
      <c r="E110" s="170">
        <f>27342.5+9715</f>
        <v>37057.5</v>
      </c>
      <c r="F110" s="176">
        <v>9715</v>
      </c>
      <c r="G110" s="176"/>
      <c r="H110" s="176"/>
      <c r="I110" s="176"/>
      <c r="J110" s="176"/>
      <c r="K110" s="176"/>
      <c r="L110" s="176"/>
      <c r="M110" s="176"/>
      <c r="N110" s="176">
        <v>11700</v>
      </c>
      <c r="O110" s="176">
        <v>3642.5</v>
      </c>
      <c r="P110" s="176">
        <v>12000</v>
      </c>
      <c r="Q110" s="176"/>
      <c r="R110" s="586">
        <f>SUM(F110:Q110)</f>
        <v>37057.5</v>
      </c>
      <c r="S110" s="335">
        <f t="shared" si="31"/>
        <v>9715</v>
      </c>
      <c r="T110" s="337"/>
      <c r="U110" s="337">
        <f>T110</f>
        <v>0</v>
      </c>
      <c r="V110" s="337"/>
      <c r="W110" s="337"/>
      <c r="X110" s="337"/>
      <c r="Y110" s="337"/>
      <c r="Z110" s="337"/>
      <c r="AA110" s="337"/>
      <c r="AB110" s="337"/>
      <c r="AC110" s="337"/>
      <c r="AD110" s="337"/>
      <c r="AE110" s="337"/>
      <c r="AF110" s="337"/>
      <c r="AG110" s="337"/>
      <c r="AH110" s="337"/>
      <c r="AI110" s="337"/>
      <c r="AJ110" s="566"/>
      <c r="AK110" s="566"/>
      <c r="AL110" s="566"/>
      <c r="AM110" s="566"/>
      <c r="AN110" s="566"/>
      <c r="AO110" s="566"/>
      <c r="AP110" s="566"/>
      <c r="AQ110" s="566"/>
      <c r="AR110" s="566"/>
      <c r="AS110" s="566"/>
      <c r="AT110" s="566"/>
      <c r="AU110" s="566"/>
      <c r="AV110" s="602">
        <f>AU110+AT110+AS110+AR110+AQ110+AP110+AO110+AN110+AM110+AL110+AK110+AJ110</f>
        <v>0</v>
      </c>
      <c r="AW110" s="337"/>
      <c r="AX110" s="337"/>
      <c r="AY110" s="337"/>
      <c r="AZ110" s="170"/>
      <c r="BA110" s="102"/>
      <c r="BB110" s="186"/>
      <c r="BC110" s="186"/>
      <c r="BD110" s="186"/>
      <c r="BE110" s="186"/>
      <c r="BG110" s="204"/>
    </row>
    <row r="111" spans="1:59" s="19" customFormat="1" ht="22.5" customHeight="1" outlineLevel="7" x14ac:dyDescent="0.25">
      <c r="A111" s="18"/>
      <c r="B111" s="133" t="s">
        <v>205</v>
      </c>
      <c r="C111" s="20" t="s">
        <v>216</v>
      </c>
      <c r="D111" s="337"/>
      <c r="E111" s="170">
        <v>1826.4</v>
      </c>
      <c r="F111" s="176"/>
      <c r="G111" s="176"/>
      <c r="H111" s="176">
        <v>326.2</v>
      </c>
      <c r="I111" s="176"/>
      <c r="J111" s="176">
        <v>69.900000000000006</v>
      </c>
      <c r="K111" s="176"/>
      <c r="L111" s="176">
        <v>240</v>
      </c>
      <c r="M111" s="176">
        <v>547.29999999999995</v>
      </c>
      <c r="N111" s="176">
        <v>190</v>
      </c>
      <c r="O111" s="176">
        <v>263</v>
      </c>
      <c r="P111" s="176">
        <v>190</v>
      </c>
      <c r="Q111" s="176"/>
      <c r="R111" s="586">
        <f>SUM(F111:Q111)</f>
        <v>1826.4</v>
      </c>
      <c r="S111" s="335">
        <f t="shared" si="31"/>
        <v>0</v>
      </c>
      <c r="T111" s="337"/>
      <c r="U111" s="337">
        <f>T111</f>
        <v>0</v>
      </c>
      <c r="V111" s="337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566"/>
      <c r="AK111" s="566"/>
      <c r="AL111" s="566"/>
      <c r="AM111" s="566"/>
      <c r="AN111" s="566"/>
      <c r="AO111" s="566"/>
      <c r="AP111" s="566"/>
      <c r="AQ111" s="566"/>
      <c r="AR111" s="566"/>
      <c r="AS111" s="566"/>
      <c r="AT111" s="566"/>
      <c r="AU111" s="566"/>
      <c r="AV111" s="602">
        <f>AU111+AT111+AS111+AR111+AQ111+AP111+AO111+AN111+AM111+AL111+AK111+AJ111</f>
        <v>0</v>
      </c>
      <c r="AW111" s="337"/>
      <c r="AX111" s="337"/>
      <c r="AY111" s="337"/>
      <c r="AZ111" s="170"/>
      <c r="BA111" s="102"/>
      <c r="BB111" s="186"/>
      <c r="BC111" s="186"/>
      <c r="BD111" s="186"/>
      <c r="BE111" s="186"/>
      <c r="BG111" s="204"/>
    </row>
    <row r="112" spans="1:59" s="19" customFormat="1" ht="30" outlineLevel="7" x14ac:dyDescent="0.25">
      <c r="A112" s="18"/>
      <c r="B112" s="552" t="s">
        <v>659</v>
      </c>
      <c r="C112" s="20" t="s">
        <v>326</v>
      </c>
      <c r="D112" s="337"/>
      <c r="E112" s="170">
        <v>784.2</v>
      </c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>
        <v>784.2</v>
      </c>
      <c r="R112" s="586">
        <f t="shared" si="46"/>
        <v>784.2</v>
      </c>
      <c r="S112" s="335">
        <f t="shared" si="31"/>
        <v>0</v>
      </c>
      <c r="T112" s="337"/>
      <c r="U112" s="337">
        <f t="shared" si="33"/>
        <v>0</v>
      </c>
      <c r="V112" s="337"/>
      <c r="W112" s="337"/>
      <c r="X112" s="337"/>
      <c r="Y112" s="337"/>
      <c r="Z112" s="337"/>
      <c r="AA112" s="337"/>
      <c r="AB112" s="337"/>
      <c r="AC112" s="337"/>
      <c r="AD112" s="337"/>
      <c r="AE112" s="337"/>
      <c r="AF112" s="337"/>
      <c r="AG112" s="337"/>
      <c r="AH112" s="337"/>
      <c r="AI112" s="337"/>
      <c r="AJ112" s="566"/>
      <c r="AK112" s="566"/>
      <c r="AL112" s="566"/>
      <c r="AM112" s="566"/>
      <c r="AN112" s="566"/>
      <c r="AO112" s="566"/>
      <c r="AP112" s="566"/>
      <c r="AQ112" s="566"/>
      <c r="AR112" s="566"/>
      <c r="AS112" s="566"/>
      <c r="AT112" s="566"/>
      <c r="AU112" s="566"/>
      <c r="AV112" s="602">
        <f t="shared" si="32"/>
        <v>0</v>
      </c>
      <c r="AW112" s="337"/>
      <c r="AX112" s="337"/>
      <c r="AY112" s="337"/>
      <c r="AZ112" s="170"/>
      <c r="BA112" s="102"/>
      <c r="BB112" s="186"/>
      <c r="BC112" s="186"/>
      <c r="BD112" s="186"/>
      <c r="BE112" s="186"/>
      <c r="BG112" s="204"/>
    </row>
    <row r="113" spans="1:59" s="19" customFormat="1" ht="52.5" customHeight="1" outlineLevel="7" x14ac:dyDescent="0.25">
      <c r="A113" s="18"/>
      <c r="B113" s="552" t="s">
        <v>660</v>
      </c>
      <c r="C113" s="20" t="s">
        <v>251</v>
      </c>
      <c r="D113" s="337"/>
      <c r="E113" s="170">
        <v>310</v>
      </c>
      <c r="F113" s="176"/>
      <c r="G113" s="176"/>
      <c r="H113" s="176"/>
      <c r="I113" s="176"/>
      <c r="J113" s="176"/>
      <c r="K113" s="176"/>
      <c r="L113" s="176"/>
      <c r="M113" s="176">
        <v>310</v>
      </c>
      <c r="N113" s="176"/>
      <c r="O113" s="176"/>
      <c r="P113" s="176"/>
      <c r="Q113" s="176"/>
      <c r="R113" s="586">
        <f t="shared" si="46"/>
        <v>310</v>
      </c>
      <c r="S113" s="335">
        <f t="shared" si="31"/>
        <v>0</v>
      </c>
      <c r="T113" s="337"/>
      <c r="U113" s="337">
        <f t="shared" si="33"/>
        <v>0</v>
      </c>
      <c r="V113" s="337"/>
      <c r="W113" s="337"/>
      <c r="X113" s="337"/>
      <c r="Y113" s="337"/>
      <c r="Z113" s="337"/>
      <c r="AA113" s="337"/>
      <c r="AB113" s="337"/>
      <c r="AC113" s="337"/>
      <c r="AD113" s="337"/>
      <c r="AE113" s="337"/>
      <c r="AF113" s="337"/>
      <c r="AG113" s="337"/>
      <c r="AH113" s="337"/>
      <c r="AI113" s="337"/>
      <c r="AJ113" s="566"/>
      <c r="AK113" s="566"/>
      <c r="AL113" s="566"/>
      <c r="AM113" s="566"/>
      <c r="AN113" s="566"/>
      <c r="AO113" s="566"/>
      <c r="AP113" s="566"/>
      <c r="AQ113" s="566"/>
      <c r="AR113" s="566"/>
      <c r="AS113" s="566"/>
      <c r="AT113" s="566"/>
      <c r="AU113" s="566"/>
      <c r="AV113" s="602">
        <f t="shared" si="32"/>
        <v>0</v>
      </c>
      <c r="AW113" s="337"/>
      <c r="AX113" s="337"/>
      <c r="AY113" s="337"/>
      <c r="AZ113" s="170"/>
      <c r="BA113" s="102"/>
      <c r="BB113" s="186"/>
      <c r="BC113" s="186"/>
      <c r="BD113" s="186"/>
      <c r="BE113" s="186"/>
      <c r="BG113" s="204"/>
    </row>
    <row r="114" spans="1:59" s="19" customFormat="1" ht="44.25" customHeight="1" outlineLevel="7" x14ac:dyDescent="0.25">
      <c r="A114" s="18"/>
      <c r="B114" s="232" t="s">
        <v>385</v>
      </c>
      <c r="C114" s="20" t="s">
        <v>384</v>
      </c>
      <c r="D114" s="337"/>
      <c r="E114" s="170">
        <v>700</v>
      </c>
      <c r="F114" s="176"/>
      <c r="G114" s="176"/>
      <c r="H114" s="176">
        <v>700</v>
      </c>
      <c r="I114" s="176"/>
      <c r="J114" s="176"/>
      <c r="K114" s="176"/>
      <c r="L114" s="176"/>
      <c r="M114" s="176"/>
      <c r="N114" s="176"/>
      <c r="O114" s="176"/>
      <c r="P114" s="176"/>
      <c r="Q114" s="176"/>
      <c r="R114" s="586">
        <f t="shared" si="46"/>
        <v>700</v>
      </c>
      <c r="S114" s="335">
        <f t="shared" si="31"/>
        <v>0</v>
      </c>
      <c r="T114" s="337"/>
      <c r="U114" s="337">
        <f t="shared" si="33"/>
        <v>0</v>
      </c>
      <c r="V114" s="337"/>
      <c r="W114" s="337"/>
      <c r="X114" s="337"/>
      <c r="Y114" s="337"/>
      <c r="Z114" s="337"/>
      <c r="AA114" s="337"/>
      <c r="AB114" s="337"/>
      <c r="AC114" s="337"/>
      <c r="AD114" s="337"/>
      <c r="AE114" s="337"/>
      <c r="AF114" s="337"/>
      <c r="AG114" s="337"/>
      <c r="AH114" s="337"/>
      <c r="AI114" s="337"/>
      <c r="AJ114" s="566"/>
      <c r="AK114" s="566"/>
      <c r="AL114" s="566"/>
      <c r="AM114" s="566"/>
      <c r="AN114" s="566"/>
      <c r="AO114" s="566"/>
      <c r="AP114" s="566"/>
      <c r="AQ114" s="566"/>
      <c r="AR114" s="566"/>
      <c r="AS114" s="566"/>
      <c r="AT114" s="566"/>
      <c r="AU114" s="566"/>
      <c r="AV114" s="602">
        <f t="shared" si="32"/>
        <v>0</v>
      </c>
      <c r="AW114" s="337"/>
      <c r="AX114" s="337"/>
      <c r="AY114" s="337"/>
      <c r="AZ114" s="170"/>
      <c r="BA114" s="102"/>
      <c r="BB114" s="186"/>
      <c r="BC114" s="186"/>
      <c r="BD114" s="186"/>
      <c r="BE114" s="186"/>
      <c r="BG114" s="204"/>
    </row>
    <row r="115" spans="1:59" s="19" customFormat="1" ht="67.5" customHeight="1" outlineLevel="7" x14ac:dyDescent="0.25">
      <c r="A115" s="18"/>
      <c r="B115" s="9" t="s">
        <v>335</v>
      </c>
      <c r="C115" s="20" t="s">
        <v>274</v>
      </c>
      <c r="D115" s="337"/>
      <c r="E115" s="170">
        <v>1242.5</v>
      </c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>
        <v>1242.5</v>
      </c>
      <c r="Q115" s="176"/>
      <c r="R115" s="586">
        <f t="shared" si="46"/>
        <v>1242.5</v>
      </c>
      <c r="S115" s="335">
        <f t="shared" si="31"/>
        <v>0</v>
      </c>
      <c r="T115" s="337"/>
      <c r="U115" s="337">
        <f t="shared" si="33"/>
        <v>0</v>
      </c>
      <c r="V115" s="337"/>
      <c r="W115" s="337"/>
      <c r="X115" s="337"/>
      <c r="Y115" s="337"/>
      <c r="Z115" s="337"/>
      <c r="AA115" s="337"/>
      <c r="AB115" s="337"/>
      <c r="AC115" s="337"/>
      <c r="AD115" s="337"/>
      <c r="AE115" s="337"/>
      <c r="AF115" s="337"/>
      <c r="AG115" s="337"/>
      <c r="AH115" s="337"/>
      <c r="AI115" s="337"/>
      <c r="AJ115" s="566"/>
      <c r="AK115" s="566"/>
      <c r="AL115" s="566"/>
      <c r="AM115" s="566"/>
      <c r="AN115" s="566"/>
      <c r="AO115" s="566"/>
      <c r="AP115" s="566"/>
      <c r="AQ115" s="566"/>
      <c r="AR115" s="566"/>
      <c r="AS115" s="566"/>
      <c r="AT115" s="566"/>
      <c r="AU115" s="566"/>
      <c r="AV115" s="602">
        <f t="shared" si="32"/>
        <v>0</v>
      </c>
      <c r="AW115" s="337"/>
      <c r="AX115" s="337"/>
      <c r="AY115" s="337"/>
      <c r="AZ115" s="170"/>
      <c r="BA115" s="102"/>
      <c r="BB115" s="186"/>
      <c r="BC115" s="186"/>
      <c r="BD115" s="186"/>
      <c r="BE115" s="186"/>
      <c r="BG115" s="204"/>
    </row>
    <row r="116" spans="1:59" s="19" customFormat="1" ht="66.75" customHeight="1" outlineLevel="7" x14ac:dyDescent="0.25">
      <c r="A116" s="18"/>
      <c r="B116" s="433" t="s">
        <v>572</v>
      </c>
      <c r="C116" s="307"/>
      <c r="D116" s="337"/>
      <c r="E116" s="170"/>
      <c r="F116" s="176">
        <v>-43.8</v>
      </c>
      <c r="G116" s="176">
        <v>43.8</v>
      </c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586">
        <f t="shared" si="46"/>
        <v>0</v>
      </c>
      <c r="S116" s="335">
        <f t="shared" si="31"/>
        <v>0</v>
      </c>
      <c r="T116" s="337"/>
      <c r="U116" s="337">
        <f t="shared" si="33"/>
        <v>0</v>
      </c>
      <c r="V116" s="337"/>
      <c r="W116" s="337"/>
      <c r="X116" s="337"/>
      <c r="Y116" s="337"/>
      <c r="Z116" s="337"/>
      <c r="AA116" s="337"/>
      <c r="AB116" s="337"/>
      <c r="AC116" s="337"/>
      <c r="AD116" s="337"/>
      <c r="AE116" s="337"/>
      <c r="AF116" s="337"/>
      <c r="AG116" s="337"/>
      <c r="AH116" s="337"/>
      <c r="AI116" s="337"/>
      <c r="AJ116" s="566"/>
      <c r="AK116" s="566"/>
      <c r="AL116" s="566"/>
      <c r="AM116" s="566"/>
      <c r="AN116" s="566"/>
      <c r="AO116" s="566"/>
      <c r="AP116" s="566"/>
      <c r="AQ116" s="566"/>
      <c r="AR116" s="566"/>
      <c r="AS116" s="566"/>
      <c r="AT116" s="566"/>
      <c r="AU116" s="566"/>
      <c r="AV116" s="602">
        <f t="shared" si="32"/>
        <v>0</v>
      </c>
      <c r="AW116" s="337"/>
      <c r="AX116" s="337"/>
      <c r="AY116" s="337"/>
      <c r="AZ116" s="170"/>
      <c r="BA116" s="102"/>
      <c r="BB116" s="186"/>
      <c r="BC116" s="186"/>
      <c r="BD116" s="186"/>
      <c r="BE116" s="186"/>
      <c r="BG116" s="204"/>
    </row>
    <row r="117" spans="1:59" s="19" customFormat="1" ht="72" outlineLevel="7" x14ac:dyDescent="0.25">
      <c r="A117" s="18"/>
      <c r="B117" s="306" t="s">
        <v>646</v>
      </c>
      <c r="C117" s="307"/>
      <c r="D117" s="346"/>
      <c r="E117" s="333">
        <v>131.19999999999999</v>
      </c>
      <c r="F117" s="236"/>
      <c r="G117" s="236"/>
      <c r="H117" s="236"/>
      <c r="I117" s="236"/>
      <c r="J117" s="236"/>
      <c r="K117" s="236"/>
      <c r="L117" s="236"/>
      <c r="M117" s="236"/>
      <c r="N117" s="236"/>
      <c r="O117" s="236">
        <v>131.19999999999999</v>
      </c>
      <c r="P117" s="236"/>
      <c r="Q117" s="236"/>
      <c r="R117" s="586">
        <v>131.19999999999999</v>
      </c>
      <c r="S117" s="337">
        <f t="shared" si="31"/>
        <v>0</v>
      </c>
      <c r="T117" s="337"/>
      <c r="U117" s="337">
        <f t="shared" si="33"/>
        <v>0</v>
      </c>
      <c r="V117" s="337"/>
      <c r="W117" s="337"/>
      <c r="X117" s="337"/>
      <c r="Y117" s="337"/>
      <c r="Z117" s="337"/>
      <c r="AA117" s="337"/>
      <c r="AB117" s="337"/>
      <c r="AC117" s="337"/>
      <c r="AD117" s="337"/>
      <c r="AE117" s="337"/>
      <c r="AF117" s="337"/>
      <c r="AG117" s="337"/>
      <c r="AH117" s="337"/>
      <c r="AI117" s="337"/>
      <c r="AJ117" s="566"/>
      <c r="AK117" s="566"/>
      <c r="AL117" s="566"/>
      <c r="AM117" s="566"/>
      <c r="AN117" s="566"/>
      <c r="AO117" s="566"/>
      <c r="AP117" s="566"/>
      <c r="AQ117" s="566"/>
      <c r="AR117" s="566"/>
      <c r="AS117" s="566"/>
      <c r="AT117" s="566"/>
      <c r="AU117" s="566"/>
      <c r="AV117" s="602">
        <f t="shared" si="32"/>
        <v>0</v>
      </c>
      <c r="AW117" s="337"/>
      <c r="AX117" s="337"/>
      <c r="AY117" s="337"/>
      <c r="AZ117" s="435"/>
      <c r="BA117" s="266"/>
      <c r="BB117" s="266"/>
      <c r="BC117" s="266"/>
      <c r="BD117" s="266"/>
      <c r="BE117" s="266"/>
    </row>
    <row r="118" spans="1:59" s="19" customFormat="1" ht="57.75" outlineLevel="7" x14ac:dyDescent="0.25">
      <c r="A118" s="18"/>
      <c r="B118" s="592" t="s">
        <v>196</v>
      </c>
      <c r="C118" s="307"/>
      <c r="D118" s="346"/>
      <c r="E118" s="333">
        <v>736.4</v>
      </c>
      <c r="F118" s="236"/>
      <c r="G118" s="236">
        <v>736.4</v>
      </c>
      <c r="H118" s="236"/>
      <c r="I118" s="236"/>
      <c r="J118" s="236"/>
      <c r="K118" s="236"/>
      <c r="L118" s="236"/>
      <c r="M118" s="236"/>
      <c r="N118" s="236"/>
      <c r="O118" s="236"/>
      <c r="P118" s="236"/>
      <c r="Q118" s="236"/>
      <c r="R118" s="586">
        <f>SUM(F118:Q118)</f>
        <v>736.4</v>
      </c>
      <c r="S118" s="337">
        <f t="shared" si="31"/>
        <v>736.4</v>
      </c>
      <c r="T118" s="337"/>
      <c r="U118" s="337">
        <f t="shared" si="33"/>
        <v>0</v>
      </c>
      <c r="V118" s="337"/>
      <c r="W118" s="337">
        <f>AV118</f>
        <v>2211.5</v>
      </c>
      <c r="X118" s="337"/>
      <c r="Y118" s="337">
        <f>AK118</f>
        <v>2211.5</v>
      </c>
      <c r="Z118" s="337"/>
      <c r="AA118" s="337"/>
      <c r="AB118" s="337"/>
      <c r="AC118" s="337"/>
      <c r="AD118" s="337"/>
      <c r="AE118" s="337"/>
      <c r="AF118" s="337"/>
      <c r="AG118" s="337"/>
      <c r="AH118" s="337"/>
      <c r="AI118" s="337"/>
      <c r="AJ118" s="566"/>
      <c r="AK118" s="566">
        <f>2132.9+78.6</f>
        <v>2211.5</v>
      </c>
      <c r="AL118" s="566"/>
      <c r="AM118" s="566"/>
      <c r="AN118" s="566"/>
      <c r="AO118" s="566"/>
      <c r="AP118" s="566"/>
      <c r="AQ118" s="566"/>
      <c r="AR118" s="566"/>
      <c r="AS118" s="566"/>
      <c r="AT118" s="566"/>
      <c r="AU118" s="566"/>
      <c r="AV118" s="602">
        <f t="shared" si="32"/>
        <v>2211.5</v>
      </c>
      <c r="AW118" s="337"/>
      <c r="AX118" s="337"/>
      <c r="AY118" s="337"/>
      <c r="AZ118" s="435"/>
      <c r="BA118" s="266"/>
      <c r="BB118" s="266"/>
      <c r="BC118" s="266"/>
      <c r="BD118" s="266"/>
      <c r="BE118" s="266"/>
    </row>
    <row r="119" spans="1:59" s="622" customFormat="1" ht="72" outlineLevel="7" x14ac:dyDescent="0.25">
      <c r="A119" s="8"/>
      <c r="B119" s="306" t="s">
        <v>197</v>
      </c>
      <c r="C119" s="307"/>
      <c r="D119" s="346"/>
      <c r="E119" s="333">
        <v>-728.7</v>
      </c>
      <c r="F119" s="236">
        <v>-5653.5</v>
      </c>
      <c r="G119" s="236">
        <v>5056</v>
      </c>
      <c r="H119" s="236"/>
      <c r="I119" s="236"/>
      <c r="J119" s="236"/>
      <c r="K119" s="236"/>
      <c r="L119" s="236"/>
      <c r="M119" s="236"/>
      <c r="N119" s="236"/>
      <c r="O119" s="236">
        <v>-131.19999999999999</v>
      </c>
      <c r="P119" s="236"/>
      <c r="Q119" s="236"/>
      <c r="R119" s="586">
        <f>SUM(F119:Q119)</f>
        <v>-728.7</v>
      </c>
      <c r="S119" s="337">
        <f t="shared" si="31"/>
        <v>-597.5</v>
      </c>
      <c r="T119" s="337"/>
      <c r="U119" s="337">
        <v>-3079.3</v>
      </c>
      <c r="V119" s="337"/>
      <c r="W119" s="337">
        <f>AV119</f>
        <v>-4976.3</v>
      </c>
      <c r="X119" s="337">
        <f>AJ119</f>
        <v>-3079.3</v>
      </c>
      <c r="Y119" s="337">
        <f>AK119</f>
        <v>-1897</v>
      </c>
      <c r="Z119" s="337"/>
      <c r="AA119" s="337"/>
      <c r="AB119" s="337"/>
      <c r="AC119" s="337"/>
      <c r="AD119" s="337"/>
      <c r="AE119" s="337"/>
      <c r="AF119" s="337"/>
      <c r="AG119" s="337"/>
      <c r="AH119" s="337"/>
      <c r="AI119" s="337"/>
      <c r="AJ119" s="160">
        <v>-3079.3</v>
      </c>
      <c r="AK119" s="566">
        <v>-1897</v>
      </c>
      <c r="AL119" s="566"/>
      <c r="AM119" s="566"/>
      <c r="AN119" s="566"/>
      <c r="AO119" s="566"/>
      <c r="AP119" s="566"/>
      <c r="AQ119" s="566"/>
      <c r="AR119" s="566"/>
      <c r="AS119" s="566"/>
      <c r="AT119" s="566"/>
      <c r="AU119" s="566"/>
      <c r="AV119" s="602">
        <f t="shared" si="32"/>
        <v>-4976.3</v>
      </c>
      <c r="AW119" s="337"/>
      <c r="AX119" s="337"/>
      <c r="AY119" s="337"/>
      <c r="AZ119" s="435"/>
      <c r="BA119" s="266"/>
      <c r="BB119" s="266"/>
      <c r="BC119" s="266"/>
      <c r="BD119" s="266"/>
      <c r="BE119" s="266"/>
    </row>
    <row r="120" spans="1:59" s="622" customFormat="1" ht="36.75" customHeight="1" x14ac:dyDescent="0.25">
      <c r="A120" s="13"/>
      <c r="B120" s="596" t="s">
        <v>292</v>
      </c>
      <c r="C120" s="597"/>
      <c r="D120" s="598" t="e">
        <f t="shared" ref="D120:Q120" si="47">D33+D32</f>
        <v>#REF!</v>
      </c>
      <c r="E120" s="598" t="e">
        <f>E33+E32</f>
        <v>#REF!</v>
      </c>
      <c r="F120" s="598" t="e">
        <f t="shared" si="47"/>
        <v>#REF!</v>
      </c>
      <c r="G120" s="598" t="e">
        <f t="shared" si="47"/>
        <v>#REF!</v>
      </c>
      <c r="H120" s="598" t="e">
        <f t="shared" si="47"/>
        <v>#REF!</v>
      </c>
      <c r="I120" s="598" t="e">
        <f t="shared" si="47"/>
        <v>#REF!</v>
      </c>
      <c r="J120" s="598" t="e">
        <f t="shared" si="47"/>
        <v>#REF!</v>
      </c>
      <c r="K120" s="598" t="e">
        <f t="shared" si="47"/>
        <v>#REF!</v>
      </c>
      <c r="L120" s="598" t="e">
        <f t="shared" si="47"/>
        <v>#REF!</v>
      </c>
      <c r="M120" s="598" t="e">
        <f t="shared" si="47"/>
        <v>#REF!</v>
      </c>
      <c r="N120" s="598" t="e">
        <f t="shared" si="47"/>
        <v>#REF!</v>
      </c>
      <c r="O120" s="598" t="e">
        <f t="shared" si="47"/>
        <v>#REF!</v>
      </c>
      <c r="P120" s="598" t="e">
        <f t="shared" si="47"/>
        <v>#REF!</v>
      </c>
      <c r="Q120" s="598" t="e">
        <f t="shared" si="47"/>
        <v>#REF!</v>
      </c>
      <c r="R120" s="598">
        <f>R33+R32</f>
        <v>1230865.5000000002</v>
      </c>
      <c r="S120" s="598">
        <f t="shared" ref="S120:AY120" si="48">S33+S32</f>
        <v>152687.5</v>
      </c>
      <c r="T120" s="598">
        <f t="shared" si="48"/>
        <v>1104164.7</v>
      </c>
      <c r="U120" s="598">
        <f t="shared" si="48"/>
        <v>1102232.7</v>
      </c>
      <c r="V120" s="598">
        <f t="shared" si="48"/>
        <v>390794.8</v>
      </c>
      <c r="W120" s="598">
        <f t="shared" si="48"/>
        <v>156493.19999999998</v>
      </c>
      <c r="X120" s="598">
        <f t="shared" si="48"/>
        <v>57138.2</v>
      </c>
      <c r="Y120" s="598">
        <f t="shared" si="48"/>
        <v>73981.099999999991</v>
      </c>
      <c r="Z120" s="598">
        <f t="shared" si="48"/>
        <v>25373.899999999998</v>
      </c>
      <c r="AA120" s="598">
        <f t="shared" si="48"/>
        <v>34513.699999999997</v>
      </c>
      <c r="AB120" s="598">
        <f t="shared" si="48"/>
        <v>22526.799999999999</v>
      </c>
      <c r="AC120" s="598">
        <f t="shared" si="48"/>
        <v>31054.2</v>
      </c>
      <c r="AD120" s="598">
        <f t="shared" si="48"/>
        <v>36200.500000000007</v>
      </c>
      <c r="AE120" s="598">
        <f t="shared" si="48"/>
        <v>26646.7</v>
      </c>
      <c r="AF120" s="598">
        <f t="shared" si="48"/>
        <v>29217.9</v>
      </c>
      <c r="AG120" s="598">
        <f t="shared" si="48"/>
        <v>35595.1</v>
      </c>
      <c r="AH120" s="598">
        <f t="shared" si="48"/>
        <v>32409.3</v>
      </c>
      <c r="AI120" s="598">
        <f t="shared" si="48"/>
        <v>84436.2</v>
      </c>
      <c r="AJ120" s="598">
        <f t="shared" si="48"/>
        <v>57441.099999999991</v>
      </c>
      <c r="AK120" s="598">
        <f t="shared" si="48"/>
        <v>69952.099999999991</v>
      </c>
      <c r="AL120" s="598">
        <f t="shared" si="48"/>
        <v>0</v>
      </c>
      <c r="AM120" s="598">
        <f t="shared" si="48"/>
        <v>0</v>
      </c>
      <c r="AN120" s="598">
        <f t="shared" si="48"/>
        <v>0</v>
      </c>
      <c r="AO120" s="598">
        <f t="shared" si="48"/>
        <v>0</v>
      </c>
      <c r="AP120" s="598">
        <f t="shared" si="48"/>
        <v>0</v>
      </c>
      <c r="AQ120" s="598">
        <f t="shared" si="48"/>
        <v>0</v>
      </c>
      <c r="AR120" s="598">
        <f t="shared" si="48"/>
        <v>0</v>
      </c>
      <c r="AS120" s="598">
        <f t="shared" si="48"/>
        <v>0</v>
      </c>
      <c r="AT120" s="598">
        <f t="shared" si="48"/>
        <v>0</v>
      </c>
      <c r="AU120" s="598">
        <f t="shared" si="48"/>
        <v>0</v>
      </c>
      <c r="AV120" s="598">
        <f t="shared" si="48"/>
        <v>127393.19999999998</v>
      </c>
      <c r="AW120" s="598">
        <f t="shared" si="48"/>
        <v>-4029</v>
      </c>
      <c r="AX120" s="598">
        <f t="shared" ref="AX120" si="49">AX33+AX32</f>
        <v>-3726.099999999999</v>
      </c>
      <c r="AY120" s="598">
        <f t="shared" si="48"/>
        <v>-29099.999999999996</v>
      </c>
      <c r="AZ120" s="169"/>
      <c r="BA120" s="106"/>
      <c r="BB120" s="187"/>
      <c r="BC120" s="106"/>
      <c r="BD120" s="187"/>
      <c r="BE120" s="187"/>
    </row>
    <row r="121" spans="1:59" ht="12.75" customHeight="1" x14ac:dyDescent="0.25">
      <c r="D121" s="93">
        <v>1120340.6000000001</v>
      </c>
      <c r="R121" s="93">
        <v>1230865.5</v>
      </c>
      <c r="T121" s="561">
        <v>1104164.7</v>
      </c>
      <c r="AJ121" s="567"/>
      <c r="AK121" s="567"/>
      <c r="AL121" s="567"/>
      <c r="AM121" s="567"/>
      <c r="AN121" s="567"/>
      <c r="AO121" s="567"/>
      <c r="AP121" s="567"/>
      <c r="AQ121" s="567"/>
      <c r="AR121" s="567"/>
      <c r="AS121" s="567"/>
      <c r="AT121" s="567"/>
      <c r="AU121" s="567"/>
      <c r="AV121" s="567"/>
    </row>
    <row r="122" spans="1:59" ht="12.75" customHeight="1" x14ac:dyDescent="0.25">
      <c r="AV122" s="623"/>
      <c r="BA122" s="100"/>
      <c r="BC122" s="100"/>
      <c r="BE122" s="100"/>
    </row>
    <row r="123" spans="1:59" ht="12.75" customHeight="1" x14ac:dyDescent="0.25">
      <c r="D123" s="104"/>
      <c r="AW123" s="104"/>
      <c r="AX123" s="104"/>
      <c r="AY123" s="104"/>
      <c r="BA123" s="100"/>
      <c r="BB123" s="100"/>
      <c r="BC123" s="100"/>
      <c r="BE123" s="436"/>
    </row>
    <row r="124" spans="1:59" ht="12.75" customHeight="1" x14ac:dyDescent="0.25">
      <c r="BB124" s="100"/>
    </row>
    <row r="126" spans="1:59" ht="12.75" customHeight="1" x14ac:dyDescent="0.25">
      <c r="AZ126" s="100"/>
    </row>
  </sheetData>
  <mergeCells count="1">
    <mergeCell ref="B1:BE1"/>
  </mergeCells>
  <pageMargins left="0.55118110236220474" right="0.11811023622047245" top="0.31496062992125984" bottom="0.11811023622047245" header="0.51181102362204722" footer="0.51181102362204722"/>
  <pageSetup paperSize="9" scale="55" fitToHeight="6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R125"/>
  <sheetViews>
    <sheetView showGridLines="0" topLeftCell="B1" zoomScale="80" zoomScaleNormal="80" workbookViewId="0">
      <pane ySplit="3" topLeftCell="A4" activePane="bottomLeft" state="frozen"/>
      <selection activeCell="B1" sqref="B1"/>
      <selection pane="bottomLeft" activeCell="AJ5" sqref="AJ5"/>
    </sheetView>
  </sheetViews>
  <sheetFormatPr defaultRowHeight="12.75" customHeight="1" outlineLevelRow="7" x14ac:dyDescent="0.25"/>
  <cols>
    <col min="1" max="1" width="17.85546875" style="6" hidden="1" customWidth="1"/>
    <col min="2" max="2" width="39" customWidth="1"/>
    <col min="3" max="3" width="5.140625" customWidth="1"/>
    <col min="4" max="4" width="13.5703125" style="93" hidden="1" customWidth="1"/>
    <col min="5" max="5" width="14.42578125" hidden="1" customWidth="1"/>
    <col min="6" max="7" width="14.42578125" style="93" hidden="1" customWidth="1"/>
    <col min="8" max="8" width="11.5703125" style="93" hidden="1" customWidth="1"/>
    <col min="9" max="9" width="14.42578125" style="93" hidden="1" customWidth="1"/>
    <col min="10" max="10" width="13.7109375" style="93" hidden="1" customWidth="1"/>
    <col min="11" max="12" width="14.42578125" style="93" hidden="1" customWidth="1"/>
    <col min="13" max="13" width="12.140625" style="93" hidden="1" customWidth="1"/>
    <col min="14" max="14" width="12" style="93" hidden="1" customWidth="1"/>
    <col min="15" max="15" width="14.42578125" style="93" hidden="1" customWidth="1"/>
    <col min="16" max="16" width="13.7109375" style="93" hidden="1" customWidth="1"/>
    <col min="17" max="17" width="14.42578125" style="93" hidden="1" customWidth="1"/>
    <col min="18" max="18" width="13" style="93" hidden="1" customWidth="1"/>
    <col min="19" max="19" width="15" style="564" customWidth="1"/>
    <col min="20" max="20" width="13" style="561" customWidth="1"/>
    <col min="21" max="21" width="14.42578125" style="561" customWidth="1"/>
    <col min="22" max="22" width="13.5703125" style="561" hidden="1" customWidth="1"/>
    <col min="23" max="24" width="13.5703125" style="561" customWidth="1"/>
    <col min="25" max="35" width="13.5703125" style="561" hidden="1" customWidth="1"/>
    <col min="36" max="36" width="13.5703125" style="561" customWidth="1"/>
    <col min="37" max="47" width="13" style="561" hidden="1" customWidth="1"/>
    <col min="48" max="48" width="15.140625" style="561" customWidth="1"/>
    <col min="49" max="50" width="13.85546875" style="93" customWidth="1"/>
    <col min="51" max="51" width="15.85546875" hidden="1" customWidth="1"/>
    <col min="52" max="52" width="13" hidden="1" customWidth="1"/>
    <col min="53" max="53" width="12.7109375" hidden="1" customWidth="1"/>
    <col min="54" max="54" width="13.7109375" hidden="1" customWidth="1"/>
    <col min="55" max="55" width="13.85546875" hidden="1" customWidth="1"/>
    <col min="56" max="56" width="13.28515625" hidden="1" customWidth="1"/>
    <col min="57" max="57" width="19" hidden="1" customWidth="1"/>
    <col min="58" max="58" width="13.5703125" hidden="1" customWidth="1"/>
    <col min="59" max="59" width="13" hidden="1" customWidth="1"/>
    <col min="60" max="66" width="0" hidden="1" customWidth="1"/>
  </cols>
  <sheetData>
    <row r="1" spans="1:59" ht="15" customHeight="1" x14ac:dyDescent="0.2">
      <c r="A1" s="3"/>
      <c r="B1" s="632" t="s">
        <v>702</v>
      </c>
      <c r="C1" s="633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634"/>
      <c r="W1" s="634"/>
      <c r="X1" s="634"/>
      <c r="Y1" s="634"/>
      <c r="Z1" s="634"/>
      <c r="AA1" s="634"/>
      <c r="AB1" s="634"/>
      <c r="AC1" s="634"/>
      <c r="AD1" s="634"/>
      <c r="AE1" s="634"/>
      <c r="AF1" s="634"/>
      <c r="AG1" s="634"/>
      <c r="AH1" s="634"/>
      <c r="AI1" s="634"/>
      <c r="AJ1" s="634"/>
      <c r="AK1" s="634"/>
      <c r="AL1" s="634"/>
      <c r="AM1" s="634"/>
      <c r="AN1" s="634"/>
      <c r="AO1" s="634"/>
      <c r="AP1" s="634"/>
      <c r="AQ1" s="634"/>
      <c r="AR1" s="634"/>
      <c r="AS1" s="634"/>
      <c r="AT1" s="634"/>
      <c r="AU1" s="634"/>
      <c r="AV1" s="634"/>
      <c r="AW1" s="634"/>
      <c r="AX1" s="634"/>
      <c r="AY1" s="634"/>
      <c r="AZ1" s="634"/>
      <c r="BA1" s="634"/>
      <c r="BB1" s="634"/>
      <c r="BC1" s="634"/>
      <c r="BD1" s="634"/>
    </row>
    <row r="2" spans="1:59" ht="15" customHeight="1" x14ac:dyDescent="0.25">
      <c r="A2" s="3"/>
      <c r="C2" s="1"/>
      <c r="AW2" s="244" t="s">
        <v>367</v>
      </c>
      <c r="AX2" s="244"/>
      <c r="AZ2" s="244"/>
    </row>
    <row r="3" spans="1:59" ht="59.25" customHeight="1" x14ac:dyDescent="0.25">
      <c r="A3" s="4" t="s">
        <v>0</v>
      </c>
      <c r="B3" s="63" t="s">
        <v>1</v>
      </c>
      <c r="C3" s="63"/>
      <c r="D3" s="307" t="s">
        <v>655</v>
      </c>
      <c r="E3" s="327" t="s">
        <v>661</v>
      </c>
      <c r="F3" s="303" t="s">
        <v>359</v>
      </c>
      <c r="G3" s="303" t="s">
        <v>361</v>
      </c>
      <c r="H3" s="303" t="s">
        <v>368</v>
      </c>
      <c r="I3" s="303" t="s">
        <v>380</v>
      </c>
      <c r="J3" s="303" t="s">
        <v>574</v>
      </c>
      <c r="K3" s="303" t="s">
        <v>357</v>
      </c>
      <c r="L3" s="303" t="s">
        <v>358</v>
      </c>
      <c r="M3" s="303" t="s">
        <v>409</v>
      </c>
      <c r="N3" s="303" t="s">
        <v>410</v>
      </c>
      <c r="O3" s="303" t="s">
        <v>420</v>
      </c>
      <c r="P3" s="303" t="s">
        <v>427</v>
      </c>
      <c r="Q3" s="303" t="s">
        <v>549</v>
      </c>
      <c r="R3" s="589" t="s">
        <v>573</v>
      </c>
      <c r="S3" s="565" t="s">
        <v>678</v>
      </c>
      <c r="T3" s="572" t="s">
        <v>667</v>
      </c>
      <c r="U3" s="573" t="s">
        <v>668</v>
      </c>
      <c r="V3" s="562" t="s">
        <v>563</v>
      </c>
      <c r="W3" s="562" t="s">
        <v>672</v>
      </c>
      <c r="X3" s="562" t="s">
        <v>443</v>
      </c>
      <c r="Y3" s="563" t="s">
        <v>453</v>
      </c>
      <c r="Z3" s="562" t="s">
        <v>455</v>
      </c>
      <c r="AA3" s="562" t="s">
        <v>460</v>
      </c>
      <c r="AB3" s="562" t="s">
        <v>467</v>
      </c>
      <c r="AC3" s="563" t="s">
        <v>468</v>
      </c>
      <c r="AD3" s="562" t="s">
        <v>478</v>
      </c>
      <c r="AE3" s="562" t="s">
        <v>481</v>
      </c>
      <c r="AF3" s="563" t="s">
        <v>482</v>
      </c>
      <c r="AG3" s="562" t="s">
        <v>483</v>
      </c>
      <c r="AH3" s="563" t="s">
        <v>484</v>
      </c>
      <c r="AI3" s="563" t="s">
        <v>485</v>
      </c>
      <c r="AJ3" s="574" t="s">
        <v>359</v>
      </c>
      <c r="AK3" s="303" t="s">
        <v>361</v>
      </c>
      <c r="AL3" s="303" t="s">
        <v>368</v>
      </c>
      <c r="AM3" s="303" t="s">
        <v>380</v>
      </c>
      <c r="AN3" s="303" t="s">
        <v>574</v>
      </c>
      <c r="AO3" s="303" t="s">
        <v>357</v>
      </c>
      <c r="AP3" s="303" t="s">
        <v>358</v>
      </c>
      <c r="AQ3" s="303" t="s">
        <v>409</v>
      </c>
      <c r="AR3" s="303" t="s">
        <v>410</v>
      </c>
      <c r="AS3" s="303" t="s">
        <v>420</v>
      </c>
      <c r="AT3" s="303" t="s">
        <v>427</v>
      </c>
      <c r="AU3" s="303" t="s">
        <v>549</v>
      </c>
      <c r="AV3" s="601" t="s">
        <v>573</v>
      </c>
      <c r="AW3" s="327" t="s">
        <v>670</v>
      </c>
      <c r="AX3" s="327" t="s">
        <v>671</v>
      </c>
      <c r="AY3" s="314" t="s">
        <v>477</v>
      </c>
      <c r="AZ3" s="548" t="s">
        <v>576</v>
      </c>
      <c r="BA3" s="328" t="s">
        <v>657</v>
      </c>
      <c r="BB3" s="553" t="s">
        <v>653</v>
      </c>
      <c r="BC3" s="314" t="s">
        <v>577</v>
      </c>
      <c r="BD3" s="314" t="s">
        <v>654</v>
      </c>
      <c r="BE3" s="314"/>
      <c r="BF3" s="303" t="s">
        <v>656</v>
      </c>
      <c r="BG3" s="303" t="s">
        <v>658</v>
      </c>
    </row>
    <row r="4" spans="1:59" s="14" customFormat="1" ht="21" customHeight="1" outlineLevel="1" x14ac:dyDescent="0.25">
      <c r="A4" s="5" t="s">
        <v>7</v>
      </c>
      <c r="B4" s="194" t="s">
        <v>100</v>
      </c>
      <c r="C4" s="137"/>
      <c r="D4" s="335">
        <v>259214.6</v>
      </c>
      <c r="E4" s="335">
        <v>259214.6</v>
      </c>
      <c r="F4" s="335">
        <f>3398.4-613+2430.9+2103-101.6+33.4</f>
        <v>7251.0999999999995</v>
      </c>
      <c r="G4" s="335">
        <v>20116.2</v>
      </c>
      <c r="H4" s="335">
        <f>6368.3-35.5+9110.8+1805.6+2+0.3</f>
        <v>17251.499999999996</v>
      </c>
      <c r="I4" s="335">
        <f>8163.5+184.7+58.5+8612.6+3383.9+1216.5+14.6</f>
        <v>21634.300000000003</v>
      </c>
      <c r="J4" s="335">
        <f>14095.6+3886.2+4.6+0.4+282.8+55.1+4.6+7.7-66.1+12.1+0.5</f>
        <v>18283.499999999996</v>
      </c>
      <c r="K4" s="335">
        <f>4488.7+32+16212.4+5063.7+563.3</f>
        <v>26360.1</v>
      </c>
      <c r="L4" s="335">
        <f>25442+661.7+1.3+276.7+80.7</f>
        <v>26462.400000000001</v>
      </c>
      <c r="M4" s="335">
        <v>22080.7</v>
      </c>
      <c r="N4" s="335">
        <v>22132.400000000001</v>
      </c>
      <c r="O4" s="335">
        <f>2010.5+1+0.2+23.2+12.4+0.1+19965.4-20+280.1</f>
        <v>22272.9</v>
      </c>
      <c r="P4" s="335">
        <f>3414.9+13+14515.9-7.6+492.5+1903+0.3+7.6</f>
        <v>20339.599999999999</v>
      </c>
      <c r="Q4" s="335">
        <f>37.5+0.4+1703.8+72.8+18.3+977+13.9+85.2+927.1+0.1+1.7+7.5+130+9.9+30.3+11+30+0.2+14.7+18.6+1.7+14.8+38.1+9.3+3.1+8.2+9.8+708.3+6283.2+14.3+6614.3+14.1-5.1+2015.7+2.3+9804+10+3065.7+4.6+4660+7.2+50.7+7317.4+0.7+9.4</f>
        <v>44751.799999999988</v>
      </c>
      <c r="R4" s="586">
        <f t="shared" ref="R4:R12" si="0">SUM(F4:Q4)</f>
        <v>268936.5</v>
      </c>
      <c r="S4" s="335">
        <f>F4</f>
        <v>7251.0999999999995</v>
      </c>
      <c r="T4" s="335">
        <v>293449.2</v>
      </c>
      <c r="U4" s="335">
        <f>T4</f>
        <v>293449.2</v>
      </c>
      <c r="V4" s="96">
        <f>X4+Y4+Z4+AA4+AB4+AC4+AD4+AE4+AF4+AG4+AH4+AI4</f>
        <v>293449.2</v>
      </c>
      <c r="W4" s="96">
        <f>X4+Y4+Z4</f>
        <v>43845</v>
      </c>
      <c r="X4" s="96">
        <v>7110</v>
      </c>
      <c r="Y4" s="96">
        <v>19535</v>
      </c>
      <c r="Z4" s="96">
        <v>17200</v>
      </c>
      <c r="AA4" s="96">
        <v>20900</v>
      </c>
      <c r="AB4" s="96">
        <v>18090</v>
      </c>
      <c r="AC4" s="96">
        <v>26300</v>
      </c>
      <c r="AD4" s="96">
        <v>26377.4</v>
      </c>
      <c r="AE4" s="96">
        <v>22100</v>
      </c>
      <c r="AF4" s="96">
        <v>22100</v>
      </c>
      <c r="AG4" s="96">
        <v>22100</v>
      </c>
      <c r="AH4" s="96">
        <v>22100</v>
      </c>
      <c r="AI4" s="96">
        <v>69536.800000000003</v>
      </c>
      <c r="AJ4" s="571">
        <f>6503.4+292.7+1.6+0.5</f>
        <v>6798.2</v>
      </c>
      <c r="AK4" s="566"/>
      <c r="AL4" s="566"/>
      <c r="AM4" s="566"/>
      <c r="AN4" s="566"/>
      <c r="AO4" s="566"/>
      <c r="AP4" s="566"/>
      <c r="AQ4" s="566"/>
      <c r="AR4" s="566"/>
      <c r="AS4" s="566"/>
      <c r="AT4" s="566"/>
      <c r="AU4" s="566"/>
      <c r="AV4" s="602">
        <f>AU4+AT4+AS4+AR4+AQ4+AP4+AO4+AN4+AM4+AL4+AK4+AJ4</f>
        <v>6798.2</v>
      </c>
      <c r="AW4" s="335">
        <f>AJ4-X4</f>
        <v>-311.80000000000018</v>
      </c>
      <c r="AX4" s="335">
        <f>AV4-W4</f>
        <v>-37046.800000000003</v>
      </c>
      <c r="AY4" s="170"/>
      <c r="AZ4" s="102"/>
      <c r="BA4" s="186"/>
      <c r="BB4" s="266"/>
      <c r="BC4" s="186"/>
      <c r="BD4" s="186"/>
      <c r="BE4" s="186"/>
      <c r="BF4" s="549"/>
      <c r="BG4" s="550"/>
    </row>
    <row r="5" spans="1:59" s="14" customFormat="1" ht="22.5" outlineLevel="1" x14ac:dyDescent="0.25">
      <c r="A5" s="5" t="s">
        <v>8</v>
      </c>
      <c r="B5" s="194" t="s">
        <v>101</v>
      </c>
      <c r="C5" s="137"/>
      <c r="D5" s="335">
        <v>22060.400000000001</v>
      </c>
      <c r="E5" s="335">
        <v>22060.400000000001</v>
      </c>
      <c r="F5" s="335">
        <f>5.8+0.7+839+2.4+1020.3-51.7+47.9+3-0.1</f>
        <v>1867.3</v>
      </c>
      <c r="G5" s="335">
        <v>354.3</v>
      </c>
      <c r="H5" s="335">
        <f>31.2+2.7+26.3-40.7+1441.4+777.9+3.2+820.3+16.4</f>
        <v>3078.7000000000003</v>
      </c>
      <c r="I5" s="335">
        <f>13.8+11.2+883.4+4.6+940.2+34.7+0.6+0.6-1.2</f>
        <v>1887.8999999999999</v>
      </c>
      <c r="J5" s="335">
        <f>887.3+4.9+899.5-67.4+0.5+0.7</f>
        <v>1725.4999999999998</v>
      </c>
      <c r="K5" s="335">
        <f>22+14.4</f>
        <v>36.4</v>
      </c>
      <c r="L5" s="335">
        <f>3566.3+55.2-0.1+33.4-6.4</f>
        <v>3648.4</v>
      </c>
      <c r="M5" s="335">
        <v>1892.1</v>
      </c>
      <c r="N5" s="335">
        <v>1808.7</v>
      </c>
      <c r="O5" s="335">
        <f>53+881.4+4.7+850.5+13.4+0.2+0.1+0.2</f>
        <v>1803.5</v>
      </c>
      <c r="P5" s="335">
        <f>32.1+0.4+43.5-68.3+912.1+5.5+960.2+12.4</f>
        <v>1897.9</v>
      </c>
      <c r="Q5" s="335">
        <f>76.8+817.7+4.1+871.5+4.9+2.8+0.7</f>
        <v>1778.5</v>
      </c>
      <c r="R5" s="586">
        <f t="shared" si="0"/>
        <v>21779.200000000001</v>
      </c>
      <c r="S5" s="335">
        <f t="shared" ref="S5:S67" si="1">F5</f>
        <v>1867.3</v>
      </c>
      <c r="T5" s="335">
        <v>24762.9</v>
      </c>
      <c r="U5" s="335">
        <f t="shared" ref="U5:U67" si="2">T5</f>
        <v>24762.9</v>
      </c>
      <c r="V5" s="96">
        <f t="shared" ref="V5:V29" si="3">X5+Y5+Z5+AA5+AB5+AC5+AD5+AE5+AF5+AG5+AH5+AI5</f>
        <v>24762.900000000005</v>
      </c>
      <c r="W5" s="96">
        <f t="shared" ref="W5" si="4">X5+Y5+Z5</f>
        <v>5416.4</v>
      </c>
      <c r="X5" s="96">
        <v>1647</v>
      </c>
      <c r="Y5" s="96">
        <v>364.3</v>
      </c>
      <c r="Z5" s="96">
        <v>3405.1</v>
      </c>
      <c r="AA5" s="96">
        <v>2054</v>
      </c>
      <c r="AB5" s="96">
        <v>1981.2</v>
      </c>
      <c r="AC5" s="96">
        <v>2130.4</v>
      </c>
      <c r="AD5" s="96">
        <v>2023.2</v>
      </c>
      <c r="AE5" s="96">
        <v>2130.6999999999998</v>
      </c>
      <c r="AF5" s="96">
        <v>2173.9</v>
      </c>
      <c r="AG5" s="96">
        <v>2225.4</v>
      </c>
      <c r="AH5" s="96">
        <v>1119.7</v>
      </c>
      <c r="AI5" s="96">
        <v>3508</v>
      </c>
      <c r="AJ5" s="571">
        <f>1884.5+16.1-0.4+5.8-8.6+0.1</f>
        <v>1897.4999999999998</v>
      </c>
      <c r="AK5" s="566"/>
      <c r="AL5" s="566"/>
      <c r="AM5" s="566"/>
      <c r="AN5" s="566"/>
      <c r="AO5" s="566"/>
      <c r="AP5" s="566"/>
      <c r="AQ5" s="566"/>
      <c r="AR5" s="566"/>
      <c r="AS5" s="566"/>
      <c r="AT5" s="566"/>
      <c r="AU5" s="566"/>
      <c r="AV5" s="602">
        <f t="shared" ref="AV5:AV67" si="5">AU5+AT5+AS5+AR5+AQ5+AP5+AO5+AN5+AM5+AL5+AK5+AJ5</f>
        <v>1897.4999999999998</v>
      </c>
      <c r="AW5" s="335">
        <f t="shared" ref="AW5:AW29" si="6">AJ5-X5</f>
        <v>250.49999999999977</v>
      </c>
      <c r="AX5" s="335">
        <f t="shared" ref="AX5:AX29" si="7">AV5-W5</f>
        <v>-3518.8999999999996</v>
      </c>
      <c r="AY5" s="170"/>
      <c r="AZ5" s="102"/>
      <c r="BA5" s="186"/>
      <c r="BB5" s="266"/>
      <c r="BC5" s="186"/>
      <c r="BD5" s="186"/>
      <c r="BE5" s="186"/>
      <c r="BF5" s="549"/>
      <c r="BG5" s="550"/>
    </row>
    <row r="6" spans="1:59" s="14" customFormat="1" ht="22.5" outlineLevel="2" x14ac:dyDescent="0.25">
      <c r="A6" s="5" t="s">
        <v>9</v>
      </c>
      <c r="B6" s="195" t="s">
        <v>346</v>
      </c>
      <c r="C6" s="137"/>
      <c r="D6" s="335">
        <v>18411.400000000001</v>
      </c>
      <c r="E6" s="335">
        <v>18411.400000000001</v>
      </c>
      <c r="F6" s="335">
        <f>52.2-90-17.6</f>
        <v>-55.4</v>
      </c>
      <c r="G6" s="335">
        <v>-43</v>
      </c>
      <c r="H6" s="335">
        <f>249.6+1036.3+162.8+23.9+21.6</f>
        <v>1494.1999999999998</v>
      </c>
      <c r="I6" s="335">
        <f>5582.5+1617.1+685.3+693+139.3+12+8.2</f>
        <v>8737.4000000000015</v>
      </c>
      <c r="J6" s="335">
        <f>2.7+448.1+2.9+1.4</f>
        <v>455.09999999999997</v>
      </c>
      <c r="K6" s="335">
        <f>360.8+3.6+873.3+72.6+4.4+0.3+113.6</f>
        <v>1428.6</v>
      </c>
      <c r="L6" s="335">
        <f>3447.6+30.5+35.6+3</f>
        <v>3516.7</v>
      </c>
      <c r="M6" s="335">
        <v>543.9</v>
      </c>
      <c r="N6" s="335">
        <v>281</v>
      </c>
      <c r="O6" s="335">
        <f>506.5+149.5+3900.2+75.8</f>
        <v>4632</v>
      </c>
      <c r="P6" s="335">
        <f>2.4+670.5+115.9+1.1+0.4</f>
        <v>790.3</v>
      </c>
      <c r="Q6" s="335">
        <f>12.2+0.9+1.8+3.7-0.4+43.8+3.2+1.2+0.7+7.2+10.7-0.4+6.1+14.2+3.5</f>
        <v>108.4</v>
      </c>
      <c r="R6" s="586">
        <f t="shared" si="0"/>
        <v>21889.200000000001</v>
      </c>
      <c r="S6" s="335">
        <f t="shared" si="1"/>
        <v>-55.4</v>
      </c>
      <c r="T6" s="335">
        <v>21189.3</v>
      </c>
      <c r="U6" s="335">
        <f t="shared" si="2"/>
        <v>21189.3</v>
      </c>
      <c r="V6" s="96">
        <f t="shared" si="3"/>
        <v>21189.3</v>
      </c>
      <c r="W6" s="96">
        <f t="shared" ref="W6" si="8">X6+Y6+Z6</f>
        <v>1500</v>
      </c>
      <c r="X6" s="96"/>
      <c r="Y6" s="96"/>
      <c r="Z6" s="96">
        <v>1500</v>
      </c>
      <c r="AA6" s="96">
        <v>8000</v>
      </c>
      <c r="AB6" s="96">
        <v>500</v>
      </c>
      <c r="AC6" s="96">
        <v>1000</v>
      </c>
      <c r="AD6" s="96">
        <v>4000</v>
      </c>
      <c r="AE6" s="96">
        <v>500</v>
      </c>
      <c r="AF6" s="96">
        <v>300</v>
      </c>
      <c r="AG6" s="96">
        <v>5000</v>
      </c>
      <c r="AH6" s="96">
        <v>300</v>
      </c>
      <c r="AI6" s="96">
        <v>89.3</v>
      </c>
      <c r="AJ6" s="571">
        <v>81.099999999999994</v>
      </c>
      <c r="AK6" s="566"/>
      <c r="AL6" s="566"/>
      <c r="AM6" s="566"/>
      <c r="AN6" s="566"/>
      <c r="AO6" s="566"/>
      <c r="AP6" s="566"/>
      <c r="AQ6" s="566"/>
      <c r="AR6" s="566"/>
      <c r="AS6" s="566"/>
      <c r="AT6" s="566"/>
      <c r="AU6" s="566"/>
      <c r="AV6" s="602">
        <f t="shared" si="5"/>
        <v>81.099999999999994</v>
      </c>
      <c r="AW6" s="335">
        <f t="shared" si="6"/>
        <v>81.099999999999994</v>
      </c>
      <c r="AX6" s="335">
        <f t="shared" si="7"/>
        <v>-1418.9</v>
      </c>
      <c r="AY6" s="170"/>
      <c r="AZ6" s="102"/>
      <c r="BA6" s="186"/>
      <c r="BB6" s="266"/>
      <c r="BC6" s="186"/>
      <c r="BD6" s="186"/>
      <c r="BE6" s="186"/>
      <c r="BF6" s="550"/>
      <c r="BG6" s="550"/>
    </row>
    <row r="7" spans="1:59" s="14" customFormat="1" ht="28.5" customHeight="1" outlineLevel="2" x14ac:dyDescent="0.25">
      <c r="A7" s="5" t="s">
        <v>13</v>
      </c>
      <c r="B7" s="194" t="s">
        <v>224</v>
      </c>
      <c r="C7" s="137"/>
      <c r="D7" s="335">
        <v>5218.5</v>
      </c>
      <c r="E7" s="335">
        <v>5218.5</v>
      </c>
      <c r="F7" s="335">
        <f>17.8+1909.4-56.1</f>
        <v>1871.1000000000001</v>
      </c>
      <c r="G7" s="335">
        <f>0.8-29.3+2.1</f>
        <v>-26.4</v>
      </c>
      <c r="H7" s="335">
        <v>-13.8</v>
      </c>
      <c r="I7" s="335">
        <v>939.4</v>
      </c>
      <c r="J7" s="335">
        <v>-31.1</v>
      </c>
      <c r="K7" s="335">
        <f>67.4+6.9</f>
        <v>74.300000000000011</v>
      </c>
      <c r="L7" s="335">
        <f>-12+0.1+6.8</f>
        <v>-5.1000000000000005</v>
      </c>
      <c r="M7" s="335">
        <v>70.2</v>
      </c>
      <c r="N7" s="335">
        <v>17.7</v>
      </c>
      <c r="O7" s="335">
        <v>53.9</v>
      </c>
      <c r="P7" s="335">
        <f>7.9-9.3</f>
        <v>-1.4000000000000004</v>
      </c>
      <c r="Q7" s="335">
        <f>-9.6-13+1613.1+89.8+42.4+19.5</f>
        <v>1742.2</v>
      </c>
      <c r="R7" s="586">
        <f t="shared" si="0"/>
        <v>4691</v>
      </c>
      <c r="S7" s="335">
        <f t="shared" si="1"/>
        <v>1871.1000000000001</v>
      </c>
      <c r="T7" s="335">
        <v>475.1</v>
      </c>
      <c r="U7" s="335">
        <f t="shared" si="2"/>
        <v>475.1</v>
      </c>
      <c r="V7" s="96">
        <f>X7+Y7+Z7+AA7+AB7+AC7+AD7+AE7+AF7+AG7+AH7+AI7</f>
        <v>475.1</v>
      </c>
      <c r="W7" s="96">
        <f>X7+Y7+Z7</f>
        <v>80</v>
      </c>
      <c r="X7" s="96">
        <v>30</v>
      </c>
      <c r="Y7" s="96">
        <v>50</v>
      </c>
      <c r="Z7" s="96"/>
      <c r="AA7" s="96">
        <v>150</v>
      </c>
      <c r="AB7" s="96"/>
      <c r="AC7" s="96"/>
      <c r="AD7" s="96"/>
      <c r="AE7" s="96">
        <v>100</v>
      </c>
      <c r="AF7" s="96">
        <v>20</v>
      </c>
      <c r="AG7" s="96">
        <v>75.099999999999994</v>
      </c>
      <c r="AH7" s="96">
        <v>50</v>
      </c>
      <c r="AI7" s="161"/>
      <c r="AJ7" s="571">
        <f>-298.3+10.7</f>
        <v>-287.60000000000002</v>
      </c>
      <c r="AK7" s="566"/>
      <c r="AL7" s="566"/>
      <c r="AM7" s="566"/>
      <c r="AN7" s="566"/>
      <c r="AO7" s="566"/>
      <c r="AP7" s="566"/>
      <c r="AQ7" s="566"/>
      <c r="AR7" s="566"/>
      <c r="AS7" s="566"/>
      <c r="AT7" s="566"/>
      <c r="AU7" s="566"/>
      <c r="AV7" s="602">
        <f t="shared" si="5"/>
        <v>-287.60000000000002</v>
      </c>
      <c r="AW7" s="335">
        <f t="shared" si="6"/>
        <v>-317.60000000000002</v>
      </c>
      <c r="AX7" s="335">
        <f t="shared" si="7"/>
        <v>-367.6</v>
      </c>
      <c r="AY7" s="170"/>
      <c r="AZ7" s="102"/>
      <c r="BA7" s="186"/>
      <c r="BB7" s="266"/>
      <c r="BC7" s="186"/>
      <c r="BD7" s="186"/>
      <c r="BE7" s="186"/>
      <c r="BF7" s="550"/>
      <c r="BG7" s="550"/>
    </row>
    <row r="8" spans="1:59" s="14" customFormat="1" ht="22.5" outlineLevel="2" x14ac:dyDescent="0.25">
      <c r="A8" s="5" t="s">
        <v>11</v>
      </c>
      <c r="B8" s="194" t="s">
        <v>12</v>
      </c>
      <c r="C8" s="137"/>
      <c r="D8" s="335">
        <v>1437</v>
      </c>
      <c r="E8" s="335">
        <v>1437</v>
      </c>
      <c r="F8" s="335"/>
      <c r="G8" s="335"/>
      <c r="H8" s="335">
        <f>57+561.8</f>
        <v>618.79999999999995</v>
      </c>
      <c r="I8" s="335">
        <v>10.199999999999999</v>
      </c>
      <c r="J8" s="335">
        <v>-8.6999999999999993</v>
      </c>
      <c r="K8" s="335">
        <v>0.1</v>
      </c>
      <c r="L8" s="335">
        <v>109.1</v>
      </c>
      <c r="M8" s="335"/>
      <c r="N8" s="335"/>
      <c r="O8" s="335"/>
      <c r="P8" s="335"/>
      <c r="Q8" s="335"/>
      <c r="R8" s="586">
        <f t="shared" si="0"/>
        <v>729.5</v>
      </c>
      <c r="S8" s="335">
        <f t="shared" si="1"/>
        <v>0</v>
      </c>
      <c r="T8" s="335">
        <v>1829</v>
      </c>
      <c r="U8" s="335">
        <f t="shared" si="2"/>
        <v>1829</v>
      </c>
      <c r="V8" s="96">
        <f t="shared" si="3"/>
        <v>1829</v>
      </c>
      <c r="W8" s="96">
        <f t="shared" ref="W8" si="9">X8+Y8+Z8</f>
        <v>1400</v>
      </c>
      <c r="X8" s="96"/>
      <c r="Y8" s="96"/>
      <c r="Z8" s="96">
        <v>1400</v>
      </c>
      <c r="AA8" s="96"/>
      <c r="AB8" s="96"/>
      <c r="AC8" s="96"/>
      <c r="AD8" s="96">
        <v>429</v>
      </c>
      <c r="AE8" s="96"/>
      <c r="AF8" s="96"/>
      <c r="AG8" s="96"/>
      <c r="AH8" s="96"/>
      <c r="AI8" s="96"/>
      <c r="AJ8" s="571"/>
      <c r="AK8" s="566"/>
      <c r="AL8" s="566"/>
      <c r="AM8" s="566"/>
      <c r="AN8" s="566"/>
      <c r="AO8" s="566"/>
      <c r="AP8" s="566"/>
      <c r="AQ8" s="566"/>
      <c r="AR8" s="566"/>
      <c r="AS8" s="566"/>
      <c r="AT8" s="566"/>
      <c r="AU8" s="566"/>
      <c r="AV8" s="602">
        <f t="shared" si="5"/>
        <v>0</v>
      </c>
      <c r="AW8" s="335">
        <f t="shared" si="6"/>
        <v>0</v>
      </c>
      <c r="AX8" s="335">
        <f t="shared" si="7"/>
        <v>-1400</v>
      </c>
      <c r="AY8" s="170"/>
      <c r="AZ8" s="102"/>
      <c r="BA8" s="186"/>
      <c r="BB8" s="266"/>
      <c r="BC8" s="186"/>
      <c r="BD8" s="186"/>
      <c r="BE8" s="186"/>
      <c r="BF8" s="549"/>
      <c r="BG8" s="550"/>
    </row>
    <row r="9" spans="1:59" s="14" customFormat="1" ht="22.5" outlineLevel="2" x14ac:dyDescent="0.25">
      <c r="A9" s="5" t="s">
        <v>14</v>
      </c>
      <c r="B9" s="194" t="s">
        <v>15</v>
      </c>
      <c r="C9" s="137"/>
      <c r="D9" s="335">
        <v>9663.7999999999993</v>
      </c>
      <c r="E9" s="335">
        <v>9663.7999999999993</v>
      </c>
      <c r="F9" s="335">
        <f>0.8+401.2+18.8+3+43+5.8</f>
        <v>472.6</v>
      </c>
      <c r="G9" s="335">
        <v>121.9</v>
      </c>
      <c r="H9" s="335">
        <f>1.1+171.3+138</f>
        <v>310.39999999999998</v>
      </c>
      <c r="I9" s="335">
        <f>5.8+58.9</f>
        <v>64.7</v>
      </c>
      <c r="J9" s="335">
        <f>0.3+30.6+0.2</f>
        <v>31.1</v>
      </c>
      <c r="K9" s="335">
        <f>1.3+12.9+4.8+1.5</f>
        <v>20.5</v>
      </c>
      <c r="L9" s="335">
        <v>19.2</v>
      </c>
      <c r="M9" s="335">
        <v>28.2</v>
      </c>
      <c r="N9" s="335">
        <v>1628.5</v>
      </c>
      <c r="O9" s="335">
        <f>1911-321.2+32+16.2</f>
        <v>1638</v>
      </c>
      <c r="P9" s="335">
        <f>380.3+2048.2+163.7+440.1</f>
        <v>3032.2999999999997</v>
      </c>
      <c r="Q9" s="335">
        <f>21.5+110+98.6+61.4+42.5+97.7+73.7+9.6+35.8+17.3+26.6+54.9+9.5+12.1+25.3+137.7+19.3+17.1+4.7+79.1-12.6+0.6-12.2</f>
        <v>930.19999999999982</v>
      </c>
      <c r="R9" s="586">
        <f t="shared" si="0"/>
        <v>8297.5999999999985</v>
      </c>
      <c r="S9" s="335">
        <f t="shared" si="1"/>
        <v>472.6</v>
      </c>
      <c r="T9" s="335">
        <v>8528</v>
      </c>
      <c r="U9" s="335">
        <f t="shared" si="2"/>
        <v>8528</v>
      </c>
      <c r="V9" s="96">
        <f t="shared" si="3"/>
        <v>8528</v>
      </c>
      <c r="W9" s="96">
        <f t="shared" ref="W9:W11" si="10">X9+Y9+Z9</f>
        <v>700</v>
      </c>
      <c r="X9" s="96">
        <v>100</v>
      </c>
      <c r="Y9" s="96">
        <v>400</v>
      </c>
      <c r="Z9" s="96">
        <v>200</v>
      </c>
      <c r="AA9" s="96">
        <v>40</v>
      </c>
      <c r="AB9" s="96">
        <v>20</v>
      </c>
      <c r="AC9" s="96">
        <v>20</v>
      </c>
      <c r="AD9" s="96">
        <v>20</v>
      </c>
      <c r="AE9" s="96">
        <v>28</v>
      </c>
      <c r="AF9" s="96">
        <v>1500</v>
      </c>
      <c r="AG9" s="96">
        <v>1600</v>
      </c>
      <c r="AH9" s="96">
        <v>3000</v>
      </c>
      <c r="AI9" s="161">
        <v>1600</v>
      </c>
      <c r="AJ9" s="571">
        <f>1+103.8</f>
        <v>104.8</v>
      </c>
      <c r="AK9" s="566"/>
      <c r="AL9" s="566"/>
      <c r="AM9" s="566"/>
      <c r="AN9" s="566"/>
      <c r="AO9" s="566"/>
      <c r="AP9" s="566"/>
      <c r="AQ9" s="566"/>
      <c r="AR9" s="566"/>
      <c r="AS9" s="566"/>
      <c r="AT9" s="566"/>
      <c r="AU9" s="566"/>
      <c r="AV9" s="602">
        <f t="shared" si="5"/>
        <v>104.8</v>
      </c>
      <c r="AW9" s="335">
        <f t="shared" si="6"/>
        <v>4.7999999999999972</v>
      </c>
      <c r="AX9" s="335">
        <f t="shared" si="7"/>
        <v>-595.20000000000005</v>
      </c>
      <c r="AY9" s="170"/>
      <c r="AZ9" s="102"/>
      <c r="BA9" s="186"/>
      <c r="BB9" s="266"/>
      <c r="BC9" s="186"/>
      <c r="BD9" s="186"/>
      <c r="BE9" s="186"/>
      <c r="BF9" s="550"/>
      <c r="BG9" s="550"/>
    </row>
    <row r="10" spans="1:59" s="14" customFormat="1" ht="22.5" outlineLevel="3" x14ac:dyDescent="0.25">
      <c r="A10" s="5" t="s">
        <v>16</v>
      </c>
      <c r="B10" s="194" t="s">
        <v>17</v>
      </c>
      <c r="C10" s="137"/>
      <c r="D10" s="335">
        <v>4804.8</v>
      </c>
      <c r="E10" s="335">
        <v>4804.8</v>
      </c>
      <c r="F10" s="336">
        <v>5.8</v>
      </c>
      <c r="G10" s="335">
        <v>1615.5</v>
      </c>
      <c r="H10" s="335">
        <v>241.4</v>
      </c>
      <c r="I10" s="335">
        <f>842.4+75.3+485.5+37.7</f>
        <v>1440.8999999999999</v>
      </c>
      <c r="J10" s="335">
        <f>2.7+599.5</f>
        <v>602.20000000000005</v>
      </c>
      <c r="K10" s="335">
        <v>126.3</v>
      </c>
      <c r="L10" s="335">
        <f>38.3+1403.4+2.3</f>
        <v>1444</v>
      </c>
      <c r="M10" s="335">
        <v>147.80000000000001</v>
      </c>
      <c r="N10" s="335">
        <v>0.9</v>
      </c>
      <c r="O10" s="335">
        <f>192.8+1226.6+67.9+3.1</f>
        <v>1490.3999999999999</v>
      </c>
      <c r="P10" s="335">
        <v>32.299999999999997</v>
      </c>
      <c r="Q10" s="335">
        <f>5.9+43+3.1+1.2+4+3.5</f>
        <v>60.7</v>
      </c>
      <c r="R10" s="586">
        <f t="shared" si="0"/>
        <v>7208.2</v>
      </c>
      <c r="S10" s="335">
        <f t="shared" si="1"/>
        <v>5.8</v>
      </c>
      <c r="T10" s="335">
        <v>8452</v>
      </c>
      <c r="U10" s="335">
        <f t="shared" si="2"/>
        <v>8452</v>
      </c>
      <c r="V10" s="96">
        <f t="shared" si="3"/>
        <v>8452</v>
      </c>
      <c r="W10" s="96">
        <f t="shared" si="10"/>
        <v>1620</v>
      </c>
      <c r="X10" s="96"/>
      <c r="Y10" s="96">
        <v>1500</v>
      </c>
      <c r="Z10" s="96">
        <v>120</v>
      </c>
      <c r="AA10" s="96">
        <v>1500</v>
      </c>
      <c r="AB10" s="96">
        <v>120</v>
      </c>
      <c r="AC10" s="96"/>
      <c r="AD10" s="96">
        <v>1500</v>
      </c>
      <c r="AE10" s="96">
        <v>120</v>
      </c>
      <c r="AF10" s="96"/>
      <c r="AG10" s="96">
        <v>1500</v>
      </c>
      <c r="AH10" s="96">
        <v>120</v>
      </c>
      <c r="AI10" s="161">
        <v>1972</v>
      </c>
      <c r="AJ10" s="571">
        <v>-31.7</v>
      </c>
      <c r="AK10" s="566"/>
      <c r="AL10" s="566"/>
      <c r="AM10" s="566"/>
      <c r="AN10" s="566"/>
      <c r="AO10" s="566"/>
      <c r="AP10" s="566"/>
      <c r="AQ10" s="566"/>
      <c r="AR10" s="566"/>
      <c r="AS10" s="566"/>
      <c r="AT10" s="566"/>
      <c r="AU10" s="566"/>
      <c r="AV10" s="602">
        <f t="shared" si="5"/>
        <v>-31.7</v>
      </c>
      <c r="AW10" s="335">
        <f t="shared" si="6"/>
        <v>-31.7</v>
      </c>
      <c r="AX10" s="335">
        <f t="shared" si="7"/>
        <v>-1651.7</v>
      </c>
      <c r="AY10" s="170"/>
      <c r="AZ10" s="102"/>
      <c r="BA10" s="186"/>
      <c r="BB10" s="266"/>
      <c r="BC10" s="186"/>
      <c r="BD10" s="186"/>
      <c r="BE10" s="186"/>
      <c r="BF10" s="550"/>
      <c r="BG10" s="550"/>
    </row>
    <row r="11" spans="1:59" s="14" customFormat="1" ht="22.5" outlineLevel="3" x14ac:dyDescent="0.25">
      <c r="A11" s="5" t="s">
        <v>18</v>
      </c>
      <c r="B11" s="194" t="s">
        <v>19</v>
      </c>
      <c r="C11" s="137"/>
      <c r="D11" s="335">
        <v>13580.6</v>
      </c>
      <c r="E11" s="335">
        <v>13580.6</v>
      </c>
      <c r="F11" s="335">
        <f>11.2+175.5+20.3+5.2+25.4+10.8</f>
        <v>248.4</v>
      </c>
      <c r="G11" s="335">
        <v>269.8</v>
      </c>
      <c r="H11" s="335">
        <f>26.1+131.4+2</f>
        <v>159.5</v>
      </c>
      <c r="I11" s="335">
        <f>5.5+84.3+1.6+0.5+6.2</f>
        <v>98.1</v>
      </c>
      <c r="J11" s="335">
        <f>4.8+51.6+3.1+3.4</f>
        <v>62.9</v>
      </c>
      <c r="K11" s="335">
        <f>3.6+66.6+14.1+12.3</f>
        <v>96.59999999999998</v>
      </c>
      <c r="L11" s="335">
        <f>83.4-2.2</f>
        <v>81.2</v>
      </c>
      <c r="M11" s="335">
        <v>140.69999999999999</v>
      </c>
      <c r="N11" s="335">
        <v>1838.1</v>
      </c>
      <c r="O11" s="335">
        <f>3511.3-28.9+84.2+240.8</f>
        <v>3807.4</v>
      </c>
      <c r="P11" s="335">
        <f>3814.9+474.3+195.7+258.7</f>
        <v>4743.5999999999995</v>
      </c>
      <c r="Q11" s="335">
        <f>51.8+258.3+207.3+96.6+111.4+193.9+58+21.4+103.4+36+103.2+51.3+72.5+30+28.5+50.5+10.7+31.4+18.4+120.7+14.9+13.1+22.2</f>
        <v>1705.5000000000005</v>
      </c>
      <c r="R11" s="586">
        <f t="shared" si="0"/>
        <v>13251.8</v>
      </c>
      <c r="S11" s="335">
        <f t="shared" si="1"/>
        <v>248.4</v>
      </c>
      <c r="T11" s="335">
        <v>13720.4</v>
      </c>
      <c r="U11" s="335">
        <f t="shared" si="2"/>
        <v>13720.4</v>
      </c>
      <c r="V11" s="96">
        <f t="shared" si="3"/>
        <v>13720.4</v>
      </c>
      <c r="W11" s="96">
        <f t="shared" si="10"/>
        <v>350</v>
      </c>
      <c r="X11" s="96"/>
      <c r="Y11" s="96">
        <v>100</v>
      </c>
      <c r="Z11" s="96">
        <v>250</v>
      </c>
      <c r="AA11" s="96">
        <v>100</v>
      </c>
      <c r="AB11" s="96">
        <v>100</v>
      </c>
      <c r="AC11" s="96">
        <v>50</v>
      </c>
      <c r="AD11" s="96">
        <v>100</v>
      </c>
      <c r="AE11" s="96">
        <v>50</v>
      </c>
      <c r="AF11" s="96">
        <v>1500</v>
      </c>
      <c r="AG11" s="96">
        <v>1600</v>
      </c>
      <c r="AH11" s="96">
        <v>4105</v>
      </c>
      <c r="AI11" s="161">
        <v>5765.4</v>
      </c>
      <c r="AJ11" s="571">
        <f>1.4+243.2</f>
        <v>244.6</v>
      </c>
      <c r="AK11" s="566"/>
      <c r="AL11" s="566"/>
      <c r="AM11" s="566"/>
      <c r="AN11" s="566"/>
      <c r="AO11" s="566"/>
      <c r="AP11" s="566"/>
      <c r="AQ11" s="566"/>
      <c r="AR11" s="566"/>
      <c r="AS11" s="566"/>
      <c r="AT11" s="566"/>
      <c r="AU11" s="566"/>
      <c r="AV11" s="602">
        <f t="shared" si="5"/>
        <v>244.6</v>
      </c>
      <c r="AW11" s="335">
        <f t="shared" si="6"/>
        <v>244.6</v>
      </c>
      <c r="AX11" s="335">
        <f t="shared" si="7"/>
        <v>-105.4</v>
      </c>
      <c r="AY11" s="170"/>
      <c r="AZ11" s="102"/>
      <c r="BA11" s="186"/>
      <c r="BB11" s="266"/>
      <c r="BC11" s="186"/>
      <c r="BD11" s="186"/>
      <c r="BE11" s="186"/>
      <c r="BF11" s="551"/>
      <c r="BG11" s="550"/>
    </row>
    <row r="12" spans="1:59" s="14" customFormat="1" ht="22.5" outlineLevel="1" collapsed="1" x14ac:dyDescent="0.25">
      <c r="A12" s="5" t="s">
        <v>20</v>
      </c>
      <c r="B12" s="195" t="s">
        <v>105</v>
      </c>
      <c r="C12" s="137"/>
      <c r="D12" s="335">
        <v>9200</v>
      </c>
      <c r="E12" s="335">
        <v>9200</v>
      </c>
      <c r="F12" s="335">
        <f>5.5+149.1+42.7+0.2+32.7+33+0.4+6</f>
        <v>269.59999999999997</v>
      </c>
      <c r="G12" s="335">
        <v>346.9</v>
      </c>
      <c r="H12" s="335">
        <f>139.5+417.1+12+0.6</f>
        <v>569.20000000000005</v>
      </c>
      <c r="I12" s="335">
        <f>14.1+380.2+25+10.2</f>
        <v>429.5</v>
      </c>
      <c r="J12" s="335">
        <f>29.6+361.3+27.3+12.2+2.6</f>
        <v>433.00000000000006</v>
      </c>
      <c r="K12" s="335">
        <f>47.8+218.7+28.8+0.4+2.9+8.9+0.1</f>
        <v>307.59999999999997</v>
      </c>
      <c r="L12" s="335">
        <f>66+442.1+10.9</f>
        <v>519</v>
      </c>
      <c r="M12" s="335">
        <v>330.2</v>
      </c>
      <c r="N12" s="335">
        <v>515.1</v>
      </c>
      <c r="O12" s="335">
        <f>23+469.5+10+14.3</f>
        <v>516.79999999999995</v>
      </c>
      <c r="P12" s="335">
        <f>7.4+0.1+345.9+22+0.2+7.7</f>
        <v>383.29999999999995</v>
      </c>
      <c r="Q12" s="335">
        <f>12.1+14+2.1+10+6+21.1+8+63.4+0.4+14.1+32.1+0.6+5.5+59.1+15+0.2+5.9+0.1+27.7+25.5+26+26.8+39.9+19.7+60.2-8.1+11.5+0.7</f>
        <v>499.59999999999991</v>
      </c>
      <c r="R12" s="586">
        <f t="shared" si="0"/>
        <v>5119.7999999999993</v>
      </c>
      <c r="S12" s="335">
        <f t="shared" si="1"/>
        <v>269.59999999999997</v>
      </c>
      <c r="T12" s="335">
        <v>5312.3</v>
      </c>
      <c r="U12" s="335">
        <f t="shared" si="2"/>
        <v>5312.3</v>
      </c>
      <c r="V12" s="96">
        <f t="shared" si="3"/>
        <v>5312.3</v>
      </c>
      <c r="W12" s="96">
        <f t="shared" ref="W12" si="11">X12+Y12+Z12</f>
        <v>1151.7</v>
      </c>
      <c r="X12" s="96">
        <v>292.2</v>
      </c>
      <c r="Y12" s="96">
        <v>382</v>
      </c>
      <c r="Z12" s="96">
        <v>477.5</v>
      </c>
      <c r="AA12" s="96">
        <v>462.7</v>
      </c>
      <c r="AB12" s="96">
        <v>401.6</v>
      </c>
      <c r="AC12" s="96">
        <v>421.8</v>
      </c>
      <c r="AD12" s="96">
        <v>439.9</v>
      </c>
      <c r="AE12" s="96">
        <v>468</v>
      </c>
      <c r="AF12" s="96">
        <v>469</v>
      </c>
      <c r="AG12" s="96">
        <v>494.6</v>
      </c>
      <c r="AH12" s="96">
        <v>489.3</v>
      </c>
      <c r="AI12" s="96">
        <v>513.70000000000005</v>
      </c>
      <c r="AJ12" s="571">
        <f>42.1+291</f>
        <v>333.1</v>
      </c>
      <c r="AK12" s="566"/>
      <c r="AL12" s="566"/>
      <c r="AM12" s="566"/>
      <c r="AN12" s="566"/>
      <c r="AO12" s="566"/>
      <c r="AP12" s="566"/>
      <c r="AQ12" s="566"/>
      <c r="AR12" s="566"/>
      <c r="AS12" s="566"/>
      <c r="AT12" s="566"/>
      <c r="AU12" s="566"/>
      <c r="AV12" s="602">
        <f t="shared" si="5"/>
        <v>333.1</v>
      </c>
      <c r="AW12" s="335">
        <f t="shared" si="6"/>
        <v>40.900000000000034</v>
      </c>
      <c r="AX12" s="335">
        <f t="shared" si="7"/>
        <v>-818.6</v>
      </c>
      <c r="AY12" s="170"/>
      <c r="AZ12" s="102"/>
      <c r="BA12" s="186"/>
      <c r="BB12" s="266"/>
      <c r="BC12" s="186"/>
      <c r="BD12" s="186"/>
      <c r="BE12" s="186"/>
      <c r="BF12" s="551"/>
      <c r="BG12" s="550"/>
    </row>
    <row r="13" spans="1:59" s="14" customFormat="1" ht="22.5" hidden="1" outlineLevel="2" x14ac:dyDescent="0.25">
      <c r="A13" s="5" t="s">
        <v>10</v>
      </c>
      <c r="B13" s="194" t="s">
        <v>103</v>
      </c>
      <c r="C13" s="137"/>
      <c r="D13" s="335">
        <v>0</v>
      </c>
      <c r="E13" s="335">
        <v>0</v>
      </c>
      <c r="F13" s="335"/>
      <c r="G13" s="335">
        <v>9.9</v>
      </c>
      <c r="H13" s="335">
        <v>0.1</v>
      </c>
      <c r="I13" s="335">
        <v>3.1</v>
      </c>
      <c r="J13" s="335">
        <v>0.3</v>
      </c>
      <c r="K13" s="335">
        <f>2.2+0.5</f>
        <v>2.7</v>
      </c>
      <c r="L13" s="335">
        <v>3.7</v>
      </c>
      <c r="M13" s="335">
        <v>3.2</v>
      </c>
      <c r="N13" s="335">
        <v>0.4</v>
      </c>
      <c r="O13" s="335">
        <f>1.3+0.6</f>
        <v>1.9</v>
      </c>
      <c r="P13" s="335">
        <v>0.3</v>
      </c>
      <c r="Q13" s="335">
        <f>3.4+2.2</f>
        <v>5.6</v>
      </c>
      <c r="R13" s="586">
        <f>SUM(F13:Q13)</f>
        <v>31.199999999999996</v>
      </c>
      <c r="S13" s="335">
        <f>F13</f>
        <v>0</v>
      </c>
      <c r="T13" s="335">
        <v>0</v>
      </c>
      <c r="U13" s="335">
        <f>T13</f>
        <v>0</v>
      </c>
      <c r="V13" s="96">
        <f>X13+Y13+Z13+AA13+AB13+AC13+AD13+AE13+AF13+AG13+AH13+AI13</f>
        <v>0</v>
      </c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571"/>
      <c r="AK13" s="566"/>
      <c r="AL13" s="566"/>
      <c r="AM13" s="566"/>
      <c r="AN13" s="566"/>
      <c r="AO13" s="566"/>
      <c r="AP13" s="566"/>
      <c r="AQ13" s="566"/>
      <c r="AR13" s="566"/>
      <c r="AS13" s="566"/>
      <c r="AT13" s="566"/>
      <c r="AU13" s="566"/>
      <c r="AV13" s="602">
        <f>AU13+AT13+AS13+AR13+AQ13+AP13+AO13+AN13+AM13+AL13+AK13+AJ13</f>
        <v>0</v>
      </c>
      <c r="AW13" s="335">
        <f>AJ13-X13</f>
        <v>0</v>
      </c>
      <c r="AX13" s="335">
        <f>AV13-W13</f>
        <v>0</v>
      </c>
      <c r="AY13" s="170"/>
      <c r="AZ13" s="102"/>
      <c r="BA13" s="186"/>
      <c r="BB13" s="266"/>
      <c r="BC13" s="186"/>
      <c r="BD13" s="186"/>
      <c r="BE13" s="186"/>
      <c r="BF13" s="549"/>
      <c r="BG13" s="550"/>
    </row>
    <row r="14" spans="1:59" s="14" customFormat="1" ht="22.5" customHeight="1" outlineLevel="1" x14ac:dyDescent="0.25">
      <c r="A14" s="5"/>
      <c r="B14" s="568" t="s">
        <v>145</v>
      </c>
      <c r="C14" s="569"/>
      <c r="D14" s="570">
        <f t="shared" ref="D14:R14" si="12">SUM(D4:D12)</f>
        <v>343591.1</v>
      </c>
      <c r="E14" s="570">
        <f t="shared" si="12"/>
        <v>343591.1</v>
      </c>
      <c r="F14" s="570">
        <f t="shared" si="12"/>
        <v>11930.5</v>
      </c>
      <c r="G14" s="570">
        <f t="shared" si="12"/>
        <v>22755.200000000001</v>
      </c>
      <c r="H14" s="570">
        <f t="shared" si="12"/>
        <v>23709.9</v>
      </c>
      <c r="I14" s="570">
        <f t="shared" si="12"/>
        <v>35242.400000000001</v>
      </c>
      <c r="J14" s="570">
        <f t="shared" si="12"/>
        <v>21553.499999999996</v>
      </c>
      <c r="K14" s="570">
        <f t="shared" si="12"/>
        <v>28450.499999999993</v>
      </c>
      <c r="L14" s="570">
        <f t="shared" si="12"/>
        <v>35794.899999999994</v>
      </c>
      <c r="M14" s="570">
        <f t="shared" si="12"/>
        <v>25233.800000000003</v>
      </c>
      <c r="N14" s="570">
        <f t="shared" si="12"/>
        <v>28222.400000000001</v>
      </c>
      <c r="O14" s="570">
        <f t="shared" si="12"/>
        <v>36214.900000000009</v>
      </c>
      <c r="P14" s="570">
        <f t="shared" si="12"/>
        <v>31217.899999999994</v>
      </c>
      <c r="Q14" s="570">
        <f t="shared" si="12"/>
        <v>51576.89999999998</v>
      </c>
      <c r="R14" s="570">
        <f t="shared" si="12"/>
        <v>351902.8</v>
      </c>
      <c r="S14" s="586">
        <f>SUM(S4:S13)</f>
        <v>11930.5</v>
      </c>
      <c r="T14" s="586">
        <f>SUM(T4:T13)</f>
        <v>377718.2</v>
      </c>
      <c r="U14" s="586">
        <f t="shared" ref="U14:AX14" si="13">SUM(U4:U13)</f>
        <v>377718.2</v>
      </c>
      <c r="V14" s="586">
        <f t="shared" si="13"/>
        <v>377718.2</v>
      </c>
      <c r="W14" s="586">
        <f t="shared" si="13"/>
        <v>56063.1</v>
      </c>
      <c r="X14" s="586">
        <f t="shared" si="13"/>
        <v>9179.2000000000007</v>
      </c>
      <c r="Y14" s="586">
        <f t="shared" si="13"/>
        <v>22331.3</v>
      </c>
      <c r="Z14" s="586">
        <f t="shared" si="13"/>
        <v>24552.6</v>
      </c>
      <c r="AA14" s="586">
        <f t="shared" si="13"/>
        <v>33206.699999999997</v>
      </c>
      <c r="AB14" s="586">
        <f t="shared" si="13"/>
        <v>21212.799999999999</v>
      </c>
      <c r="AC14" s="586">
        <f t="shared" si="13"/>
        <v>29922.2</v>
      </c>
      <c r="AD14" s="586">
        <f t="shared" si="13"/>
        <v>34889.500000000007</v>
      </c>
      <c r="AE14" s="586">
        <f t="shared" si="13"/>
        <v>25496.7</v>
      </c>
      <c r="AF14" s="586">
        <f t="shared" si="13"/>
        <v>28062.9</v>
      </c>
      <c r="AG14" s="586">
        <f t="shared" si="13"/>
        <v>34595.1</v>
      </c>
      <c r="AH14" s="586">
        <f t="shared" si="13"/>
        <v>31284</v>
      </c>
      <c r="AI14" s="586">
        <f t="shared" si="13"/>
        <v>82985.2</v>
      </c>
      <c r="AJ14" s="586">
        <f t="shared" si="13"/>
        <v>9139.9999999999982</v>
      </c>
      <c r="AK14" s="586">
        <f t="shared" si="13"/>
        <v>0</v>
      </c>
      <c r="AL14" s="586">
        <f t="shared" si="13"/>
        <v>0</v>
      </c>
      <c r="AM14" s="586">
        <f t="shared" si="13"/>
        <v>0</v>
      </c>
      <c r="AN14" s="586">
        <f t="shared" si="13"/>
        <v>0</v>
      </c>
      <c r="AO14" s="586">
        <f t="shared" si="13"/>
        <v>0</v>
      </c>
      <c r="AP14" s="586">
        <f t="shared" si="13"/>
        <v>0</v>
      </c>
      <c r="AQ14" s="586">
        <f t="shared" si="13"/>
        <v>0</v>
      </c>
      <c r="AR14" s="586">
        <f t="shared" si="13"/>
        <v>0</v>
      </c>
      <c r="AS14" s="586">
        <f t="shared" si="13"/>
        <v>0</v>
      </c>
      <c r="AT14" s="586">
        <f t="shared" si="13"/>
        <v>0</v>
      </c>
      <c r="AU14" s="586">
        <f t="shared" si="13"/>
        <v>0</v>
      </c>
      <c r="AV14" s="586">
        <f t="shared" si="13"/>
        <v>9139.9999999999982</v>
      </c>
      <c r="AW14" s="586">
        <f t="shared" si="13"/>
        <v>-39.200000000000358</v>
      </c>
      <c r="AX14" s="586">
        <f t="shared" si="13"/>
        <v>-46923.1</v>
      </c>
      <c r="AY14" s="333"/>
      <c r="AZ14" s="266"/>
      <c r="BA14" s="266"/>
      <c r="BB14" s="266"/>
      <c r="BC14" s="266"/>
      <c r="BD14" s="266"/>
      <c r="BE14" s="266"/>
      <c r="BF14" s="236"/>
      <c r="BG14" s="236"/>
    </row>
    <row r="15" spans="1:59" s="14" customFormat="1" ht="21" customHeight="1" outlineLevel="2" x14ac:dyDescent="0.25">
      <c r="A15" s="5" t="s">
        <v>21</v>
      </c>
      <c r="B15" s="196" t="s">
        <v>106</v>
      </c>
      <c r="C15" s="137"/>
      <c r="D15" s="335">
        <v>124</v>
      </c>
      <c r="E15" s="335">
        <v>131</v>
      </c>
      <c r="F15" s="350"/>
      <c r="G15" s="350"/>
      <c r="H15" s="351">
        <v>131</v>
      </c>
      <c r="I15" s="351"/>
      <c r="J15" s="351"/>
      <c r="K15" s="351"/>
      <c r="L15" s="350"/>
      <c r="M15" s="351"/>
      <c r="N15" s="350"/>
      <c r="O15" s="350"/>
      <c r="P15" s="351"/>
      <c r="Q15" s="350"/>
      <c r="R15" s="586">
        <f t="shared" ref="R15:R27" si="14">SUM(F15:Q15)</f>
        <v>131</v>
      </c>
      <c r="S15" s="335">
        <f t="shared" si="1"/>
        <v>0</v>
      </c>
      <c r="T15" s="335">
        <v>135</v>
      </c>
      <c r="U15" s="335">
        <f t="shared" si="2"/>
        <v>135</v>
      </c>
      <c r="V15" s="96">
        <f t="shared" si="3"/>
        <v>135</v>
      </c>
      <c r="W15" s="96">
        <f t="shared" ref="W15:W22" si="15">X15+Y15+Z15</f>
        <v>0</v>
      </c>
      <c r="X15" s="96"/>
      <c r="Y15" s="96"/>
      <c r="Z15" s="96"/>
      <c r="AA15" s="96">
        <v>135</v>
      </c>
      <c r="AB15" s="96"/>
      <c r="AC15" s="96"/>
      <c r="AD15" s="96"/>
      <c r="AE15" s="96"/>
      <c r="AF15" s="96">
        <f t="shared" ref="AF15" si="16">AG15+AH15+AI15</f>
        <v>0</v>
      </c>
      <c r="AG15" s="96"/>
      <c r="AH15" s="96"/>
      <c r="AI15" s="161"/>
      <c r="AJ15" s="571"/>
      <c r="AK15" s="566"/>
      <c r="AL15" s="566"/>
      <c r="AM15" s="566"/>
      <c r="AN15" s="566"/>
      <c r="AO15" s="566"/>
      <c r="AP15" s="566"/>
      <c r="AQ15" s="566"/>
      <c r="AR15" s="566"/>
      <c r="AS15" s="566"/>
      <c r="AT15" s="566"/>
      <c r="AU15" s="566"/>
      <c r="AV15" s="602">
        <f t="shared" si="5"/>
        <v>0</v>
      </c>
      <c r="AW15" s="335">
        <f t="shared" si="6"/>
        <v>0</v>
      </c>
      <c r="AX15" s="335">
        <f t="shared" si="7"/>
        <v>0</v>
      </c>
      <c r="AY15" s="170"/>
      <c r="AZ15" s="102"/>
      <c r="BA15" s="186"/>
      <c r="BB15" s="266"/>
      <c r="BC15" s="186"/>
      <c r="BD15" s="186"/>
      <c r="BE15" s="186"/>
      <c r="BF15" s="551"/>
      <c r="BG15" s="550"/>
    </row>
    <row r="16" spans="1:59" s="14" customFormat="1" ht="24" customHeight="1" outlineLevel="3" x14ac:dyDescent="0.25">
      <c r="A16" s="5" t="s">
        <v>22</v>
      </c>
      <c r="B16" s="195" t="s">
        <v>347</v>
      </c>
      <c r="C16" s="137"/>
      <c r="D16" s="335">
        <v>4283.3</v>
      </c>
      <c r="E16" s="335">
        <v>4317</v>
      </c>
      <c r="F16" s="351">
        <f>7.5+181.4+7.4</f>
        <v>196.3</v>
      </c>
      <c r="G16" s="351">
        <v>405.2</v>
      </c>
      <c r="H16" s="351">
        <f>2.9+512.4</f>
        <v>515.29999999999995</v>
      </c>
      <c r="I16" s="351">
        <f>361.1-2.1+1.8</f>
        <v>360.8</v>
      </c>
      <c r="J16" s="351">
        <v>525.9</v>
      </c>
      <c r="K16" s="351">
        <v>323.39999999999998</v>
      </c>
      <c r="L16" s="351">
        <v>328.1</v>
      </c>
      <c r="M16" s="351">
        <v>293.39999999999998</v>
      </c>
      <c r="N16" s="351">
        <v>291.60000000000002</v>
      </c>
      <c r="O16" s="351">
        <f>1.1+484.2</f>
        <v>485.3</v>
      </c>
      <c r="P16" s="351">
        <v>274.5</v>
      </c>
      <c r="Q16" s="351">
        <f>10.6+113+1.7+16.5+3.8+1.5+59.6+110.5+0.3+10+36.6</f>
        <v>364.10000000000008</v>
      </c>
      <c r="R16" s="586">
        <f t="shared" si="14"/>
        <v>4363.9000000000005</v>
      </c>
      <c r="S16" s="335">
        <f t="shared" si="1"/>
        <v>196.3</v>
      </c>
      <c r="T16" s="335">
        <v>5025</v>
      </c>
      <c r="U16" s="335">
        <f t="shared" si="2"/>
        <v>5025</v>
      </c>
      <c r="V16" s="96">
        <f t="shared" si="3"/>
        <v>5025</v>
      </c>
      <c r="W16" s="96">
        <f t="shared" si="15"/>
        <v>1100</v>
      </c>
      <c r="X16" s="96">
        <v>200</v>
      </c>
      <c r="Y16" s="96">
        <v>500</v>
      </c>
      <c r="Z16" s="96">
        <v>400</v>
      </c>
      <c r="AA16" s="96">
        <v>400</v>
      </c>
      <c r="AB16" s="96">
        <v>500</v>
      </c>
      <c r="AC16" s="96">
        <v>400</v>
      </c>
      <c r="AD16" s="96">
        <v>500</v>
      </c>
      <c r="AE16" s="96">
        <v>400</v>
      </c>
      <c r="AF16" s="96">
        <v>400</v>
      </c>
      <c r="AG16" s="96">
        <v>400</v>
      </c>
      <c r="AH16" s="96">
        <v>400</v>
      </c>
      <c r="AI16" s="96">
        <v>525</v>
      </c>
      <c r="AJ16" s="571">
        <v>192.1</v>
      </c>
      <c r="AK16" s="566"/>
      <c r="AL16" s="566"/>
      <c r="AM16" s="566"/>
      <c r="AN16" s="566"/>
      <c r="AO16" s="566"/>
      <c r="AP16" s="566"/>
      <c r="AQ16" s="566"/>
      <c r="AR16" s="566"/>
      <c r="AS16" s="566"/>
      <c r="AT16" s="566"/>
      <c r="AU16" s="566"/>
      <c r="AV16" s="602">
        <f t="shared" si="5"/>
        <v>192.1</v>
      </c>
      <c r="AW16" s="335">
        <f t="shared" si="6"/>
        <v>-7.9000000000000057</v>
      </c>
      <c r="AX16" s="335">
        <f t="shared" si="7"/>
        <v>-907.9</v>
      </c>
      <c r="AY16" s="170"/>
      <c r="AZ16" s="102"/>
      <c r="BA16" s="186"/>
      <c r="BB16" s="266"/>
      <c r="BC16" s="186"/>
      <c r="BD16" s="186"/>
      <c r="BE16" s="186"/>
      <c r="BF16" s="549"/>
      <c r="BG16" s="550"/>
    </row>
    <row r="17" spans="1:70" s="14" customFormat="1" ht="23.25" customHeight="1" outlineLevel="3" x14ac:dyDescent="0.25">
      <c r="A17" s="5" t="s">
        <v>23</v>
      </c>
      <c r="B17" s="195" t="s">
        <v>107</v>
      </c>
      <c r="C17" s="137"/>
      <c r="D17" s="335">
        <v>1562.5</v>
      </c>
      <c r="E17" s="335">
        <v>1573.4</v>
      </c>
      <c r="F17" s="351">
        <f>2.4+109</f>
        <v>111.4</v>
      </c>
      <c r="G17" s="351">
        <f>2.4+127.4</f>
        <v>129.80000000000001</v>
      </c>
      <c r="H17" s="351">
        <v>157.19999999999999</v>
      </c>
      <c r="I17" s="351">
        <f>128.8+2.1</f>
        <v>130.9</v>
      </c>
      <c r="J17" s="351">
        <v>137.30000000000001</v>
      </c>
      <c r="K17" s="351">
        <v>205.9</v>
      </c>
      <c r="L17" s="351">
        <v>118.6</v>
      </c>
      <c r="M17" s="351">
        <v>118.2</v>
      </c>
      <c r="N17" s="351">
        <f>11.7+106.8</f>
        <v>118.5</v>
      </c>
      <c r="O17" s="351">
        <v>115.3</v>
      </c>
      <c r="P17" s="351">
        <v>108.6</v>
      </c>
      <c r="Q17" s="351">
        <f>11.7+2.9+5.1+6.6+5.8+16.8+72.8+11.9+11.7</f>
        <v>145.29999999999998</v>
      </c>
      <c r="R17" s="586">
        <f t="shared" si="14"/>
        <v>1596.9999999999998</v>
      </c>
      <c r="S17" s="335">
        <f t="shared" si="1"/>
        <v>111.4</v>
      </c>
      <c r="T17" s="335">
        <v>1623</v>
      </c>
      <c r="U17" s="335">
        <f t="shared" si="2"/>
        <v>1623</v>
      </c>
      <c r="V17" s="96">
        <f t="shared" si="3"/>
        <v>1623</v>
      </c>
      <c r="W17" s="96">
        <f t="shared" si="15"/>
        <v>350</v>
      </c>
      <c r="X17" s="96">
        <v>100</v>
      </c>
      <c r="Y17" s="96">
        <v>130</v>
      </c>
      <c r="Z17" s="96">
        <v>120</v>
      </c>
      <c r="AA17" s="96">
        <v>130</v>
      </c>
      <c r="AB17" s="96">
        <v>120</v>
      </c>
      <c r="AC17" s="96">
        <v>120</v>
      </c>
      <c r="AD17" s="96">
        <v>130</v>
      </c>
      <c r="AE17" s="96">
        <v>130</v>
      </c>
      <c r="AF17" s="96">
        <v>130</v>
      </c>
      <c r="AG17" s="96">
        <v>130</v>
      </c>
      <c r="AH17" s="96">
        <v>130</v>
      </c>
      <c r="AI17" s="96">
        <v>253</v>
      </c>
      <c r="AJ17" s="571">
        <v>185.9</v>
      </c>
      <c r="AK17" s="566"/>
      <c r="AL17" s="566"/>
      <c r="AM17" s="566"/>
      <c r="AN17" s="566"/>
      <c r="AO17" s="566"/>
      <c r="AP17" s="566"/>
      <c r="AQ17" s="566"/>
      <c r="AR17" s="566"/>
      <c r="AS17" s="566"/>
      <c r="AT17" s="566"/>
      <c r="AU17" s="566"/>
      <c r="AV17" s="602">
        <f t="shared" si="5"/>
        <v>185.9</v>
      </c>
      <c r="AW17" s="335">
        <f t="shared" si="6"/>
        <v>85.9</v>
      </c>
      <c r="AX17" s="335">
        <f t="shared" si="7"/>
        <v>-164.1</v>
      </c>
      <c r="AY17" s="170"/>
      <c r="AZ17" s="102"/>
      <c r="BA17" s="186"/>
      <c r="BB17" s="266"/>
      <c r="BC17" s="186"/>
      <c r="BD17" s="186"/>
      <c r="BE17" s="186"/>
      <c r="BF17" s="549"/>
      <c r="BG17" s="550"/>
    </row>
    <row r="18" spans="1:70" s="14" customFormat="1" ht="30.75" customHeight="1" outlineLevel="2" x14ac:dyDescent="0.25">
      <c r="A18" s="5"/>
      <c r="B18" s="432" t="s">
        <v>364</v>
      </c>
      <c r="C18" s="137"/>
      <c r="D18" s="335">
        <v>0</v>
      </c>
      <c r="E18" s="335">
        <v>6.8</v>
      </c>
      <c r="F18" s="350"/>
      <c r="G18" s="350"/>
      <c r="H18" s="351"/>
      <c r="I18" s="351">
        <v>1.6</v>
      </c>
      <c r="J18" s="351">
        <v>5.2</v>
      </c>
      <c r="K18" s="351">
        <v>-0.1</v>
      </c>
      <c r="L18" s="350"/>
      <c r="M18" s="351"/>
      <c r="N18" s="350"/>
      <c r="O18" s="351">
        <v>0.1</v>
      </c>
      <c r="P18" s="351"/>
      <c r="Q18" s="351">
        <v>0.1</v>
      </c>
      <c r="R18" s="586">
        <f t="shared" si="14"/>
        <v>6.9</v>
      </c>
      <c r="S18" s="335">
        <f t="shared" si="1"/>
        <v>0</v>
      </c>
      <c r="T18" s="335">
        <v>7</v>
      </c>
      <c r="U18" s="335">
        <f t="shared" si="2"/>
        <v>7</v>
      </c>
      <c r="V18" s="96">
        <f>X18+Y18+Z18+AA18+AB18+AC18+AD18+AE18+AF18+AG18+AH18+AI18</f>
        <v>7</v>
      </c>
      <c r="W18" s="96">
        <f>X18+Y18+Z18</f>
        <v>0</v>
      </c>
      <c r="X18" s="96"/>
      <c r="Y18" s="96"/>
      <c r="Z18" s="96"/>
      <c r="AA18" s="96">
        <v>2</v>
      </c>
      <c r="AB18" s="96">
        <v>4</v>
      </c>
      <c r="AC18" s="96"/>
      <c r="AD18" s="96">
        <v>1</v>
      </c>
      <c r="AE18" s="96"/>
      <c r="AF18" s="96">
        <f>AG18+AH18+AI18</f>
        <v>0</v>
      </c>
      <c r="AG18" s="96"/>
      <c r="AH18" s="96"/>
      <c r="AI18" s="161"/>
      <c r="AJ18" s="571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602">
        <f t="shared" si="5"/>
        <v>0</v>
      </c>
      <c r="AW18" s="335">
        <f t="shared" si="6"/>
        <v>0</v>
      </c>
      <c r="AX18" s="335">
        <f t="shared" si="7"/>
        <v>0</v>
      </c>
      <c r="AY18" s="170"/>
      <c r="AZ18" s="102"/>
      <c r="BA18" s="186"/>
      <c r="BB18" s="266"/>
      <c r="BC18" s="186"/>
      <c r="BD18" s="186"/>
      <c r="BE18" s="186"/>
      <c r="BF18" s="549"/>
      <c r="BG18" s="550"/>
    </row>
    <row r="19" spans="1:70" s="14" customFormat="1" ht="34.5" customHeight="1" outlineLevel="2" x14ac:dyDescent="0.25">
      <c r="A19" s="5" t="s">
        <v>24</v>
      </c>
      <c r="B19" s="194" t="s">
        <v>25</v>
      </c>
      <c r="C19" s="137"/>
      <c r="D19" s="335">
        <v>924.8</v>
      </c>
      <c r="E19" s="335">
        <v>691.7</v>
      </c>
      <c r="F19" s="351"/>
      <c r="G19" s="351">
        <v>330.9</v>
      </c>
      <c r="H19" s="351">
        <v>-10.1</v>
      </c>
      <c r="I19" s="351">
        <v>99.4</v>
      </c>
      <c r="J19" s="351"/>
      <c r="K19" s="351">
        <v>-0.2</v>
      </c>
      <c r="L19" s="351">
        <v>134.9</v>
      </c>
      <c r="M19" s="351"/>
      <c r="N19" s="351">
        <v>1.2</v>
      </c>
      <c r="O19" s="351">
        <v>135</v>
      </c>
      <c r="P19" s="351"/>
      <c r="Q19" s="351">
        <v>0.6</v>
      </c>
      <c r="R19" s="586">
        <f t="shared" si="14"/>
        <v>691.7</v>
      </c>
      <c r="S19" s="335">
        <f t="shared" si="1"/>
        <v>0</v>
      </c>
      <c r="T19" s="335">
        <v>0</v>
      </c>
      <c r="U19" s="335">
        <f t="shared" si="2"/>
        <v>0</v>
      </c>
      <c r="V19" s="96">
        <f t="shared" si="3"/>
        <v>0</v>
      </c>
      <c r="W19" s="96">
        <f t="shared" si="15"/>
        <v>0</v>
      </c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571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602">
        <f t="shared" si="5"/>
        <v>0</v>
      </c>
      <c r="AW19" s="335">
        <f t="shared" si="6"/>
        <v>0</v>
      </c>
      <c r="AX19" s="335">
        <f t="shared" si="7"/>
        <v>0</v>
      </c>
      <c r="AY19" s="170"/>
      <c r="AZ19" s="102"/>
      <c r="BA19" s="186"/>
      <c r="BB19" s="266"/>
      <c r="BC19" s="186"/>
      <c r="BD19" s="186"/>
      <c r="BE19" s="186"/>
      <c r="BF19" s="549"/>
      <c r="BG19" s="550"/>
    </row>
    <row r="20" spans="1:70" s="14" customFormat="1" ht="37.5" customHeight="1" outlineLevel="2" x14ac:dyDescent="0.25">
      <c r="A20" s="5" t="s">
        <v>26</v>
      </c>
      <c r="B20" s="194" t="s">
        <v>469</v>
      </c>
      <c r="C20" s="137"/>
      <c r="D20" s="335">
        <v>444.4</v>
      </c>
      <c r="E20" s="335">
        <v>485.6</v>
      </c>
      <c r="F20" s="351">
        <v>36</v>
      </c>
      <c r="G20" s="351"/>
      <c r="H20" s="351"/>
      <c r="I20" s="351">
        <v>98.5</v>
      </c>
      <c r="J20" s="351">
        <v>28.2</v>
      </c>
      <c r="K20" s="351"/>
      <c r="L20" s="351">
        <v>40.9</v>
      </c>
      <c r="M20" s="351"/>
      <c r="N20" s="351">
        <f>10.2+1.8</f>
        <v>12</v>
      </c>
      <c r="O20" s="351">
        <v>109.6</v>
      </c>
      <c r="P20" s="351"/>
      <c r="Q20" s="351">
        <f>46.4+1.1+113</f>
        <v>160.5</v>
      </c>
      <c r="R20" s="586">
        <f t="shared" si="14"/>
        <v>485.7</v>
      </c>
      <c r="S20" s="335">
        <f t="shared" si="1"/>
        <v>36</v>
      </c>
      <c r="T20" s="335">
        <v>447.3</v>
      </c>
      <c r="U20" s="335">
        <f t="shared" si="2"/>
        <v>447.3</v>
      </c>
      <c r="V20" s="96">
        <f t="shared" si="3"/>
        <v>447.3</v>
      </c>
      <c r="W20" s="96">
        <f t="shared" si="15"/>
        <v>25.5</v>
      </c>
      <c r="X20" s="335"/>
      <c r="Y20" s="335">
        <v>25.5</v>
      </c>
      <c r="Z20" s="335"/>
      <c r="AA20" s="335">
        <v>90</v>
      </c>
      <c r="AB20" s="335">
        <v>25.5</v>
      </c>
      <c r="AC20" s="335">
        <v>12</v>
      </c>
      <c r="AD20" s="335">
        <v>45.5</v>
      </c>
      <c r="AE20" s="335">
        <v>20</v>
      </c>
      <c r="AF20" s="335">
        <v>25</v>
      </c>
      <c r="AG20" s="335">
        <v>35.5</v>
      </c>
      <c r="AH20" s="335">
        <v>95.3</v>
      </c>
      <c r="AI20" s="335">
        <v>73</v>
      </c>
      <c r="AJ20" s="571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602">
        <f t="shared" si="5"/>
        <v>0</v>
      </c>
      <c r="AW20" s="335">
        <f t="shared" si="6"/>
        <v>0</v>
      </c>
      <c r="AX20" s="335">
        <f t="shared" si="7"/>
        <v>-25.5</v>
      </c>
      <c r="AY20" s="170"/>
      <c r="AZ20" s="102"/>
      <c r="BA20" s="186"/>
      <c r="BB20" s="266"/>
      <c r="BC20" s="186"/>
      <c r="BD20" s="186"/>
      <c r="BE20" s="186"/>
      <c r="BF20" s="549"/>
      <c r="BG20" s="550"/>
    </row>
    <row r="21" spans="1:70" s="14" customFormat="1" ht="31.5" customHeight="1" outlineLevel="2" x14ac:dyDescent="0.25">
      <c r="A21" s="5"/>
      <c r="B21" s="194" t="s">
        <v>570</v>
      </c>
      <c r="C21" s="137"/>
      <c r="D21" s="335">
        <v>122.4</v>
      </c>
      <c r="E21" s="335">
        <v>167.7</v>
      </c>
      <c r="F21" s="351">
        <v>11.3</v>
      </c>
      <c r="G21" s="351">
        <v>11</v>
      </c>
      <c r="H21" s="351">
        <v>11.1</v>
      </c>
      <c r="I21" s="351">
        <v>11.2</v>
      </c>
      <c r="J21" s="351">
        <v>11.2</v>
      </c>
      <c r="K21" s="351">
        <v>11.2</v>
      </c>
      <c r="L21" s="351">
        <v>42.7</v>
      </c>
      <c r="M21" s="351">
        <v>11</v>
      </c>
      <c r="N21" s="351">
        <v>11.9</v>
      </c>
      <c r="O21" s="351">
        <f>89.9+11.5-90</f>
        <v>11.400000000000006</v>
      </c>
      <c r="P21" s="351">
        <v>12.4</v>
      </c>
      <c r="Q21" s="351">
        <v>11.2</v>
      </c>
      <c r="R21" s="586">
        <f t="shared" si="14"/>
        <v>167.6</v>
      </c>
      <c r="S21" s="335">
        <f t="shared" si="1"/>
        <v>11.3</v>
      </c>
      <c r="T21" s="335">
        <v>138</v>
      </c>
      <c r="U21" s="335">
        <f t="shared" si="2"/>
        <v>138</v>
      </c>
      <c r="V21" s="96">
        <f>X21+Y21+Z21+AA21+AB21+AC21+AD21+AE21+AF21+AG21+AH21+AI21</f>
        <v>138</v>
      </c>
      <c r="W21" s="96">
        <f t="shared" si="15"/>
        <v>34.5</v>
      </c>
      <c r="X21" s="335"/>
      <c r="Y21" s="335">
        <v>34.5</v>
      </c>
      <c r="Z21" s="335"/>
      <c r="AA21" s="335"/>
      <c r="AB21" s="335">
        <v>34.5</v>
      </c>
      <c r="AC21" s="335"/>
      <c r="AD21" s="335">
        <v>34.5</v>
      </c>
      <c r="AE21" s="335"/>
      <c r="AF21" s="335"/>
      <c r="AG21" s="335">
        <v>34.5</v>
      </c>
      <c r="AH21" s="335"/>
      <c r="AI21" s="335"/>
      <c r="AJ21" s="571">
        <v>11.1</v>
      </c>
      <c r="AK21" s="566"/>
      <c r="AL21" s="566"/>
      <c r="AM21" s="566"/>
      <c r="AN21" s="566"/>
      <c r="AO21" s="566"/>
      <c r="AP21" s="566"/>
      <c r="AQ21" s="566"/>
      <c r="AR21" s="566"/>
      <c r="AS21" s="566"/>
      <c r="AT21" s="566"/>
      <c r="AU21" s="566"/>
      <c r="AV21" s="602">
        <f t="shared" si="5"/>
        <v>11.1</v>
      </c>
      <c r="AW21" s="335">
        <f t="shared" si="6"/>
        <v>11.1</v>
      </c>
      <c r="AX21" s="335">
        <f t="shared" si="7"/>
        <v>-23.4</v>
      </c>
      <c r="AY21" s="170"/>
      <c r="AZ21" s="102"/>
      <c r="BA21" s="186"/>
      <c r="BB21" s="266"/>
      <c r="BC21" s="186"/>
      <c r="BD21" s="186"/>
      <c r="BE21" s="186"/>
      <c r="BF21" s="549"/>
      <c r="BG21" s="550"/>
    </row>
    <row r="22" spans="1:70" s="14" customFormat="1" ht="32.25" customHeight="1" outlineLevel="2" x14ac:dyDescent="0.25">
      <c r="A22" s="5"/>
      <c r="B22" s="194" t="s">
        <v>669</v>
      </c>
      <c r="C22" s="137"/>
      <c r="D22" s="335">
        <v>0</v>
      </c>
      <c r="E22" s="335">
        <v>737.3</v>
      </c>
      <c r="F22" s="351"/>
      <c r="G22" s="351"/>
      <c r="H22" s="351"/>
      <c r="I22" s="351"/>
      <c r="J22" s="351"/>
      <c r="K22" s="351"/>
      <c r="L22" s="351">
        <v>737.3</v>
      </c>
      <c r="M22" s="351"/>
      <c r="N22" s="351"/>
      <c r="O22" s="351"/>
      <c r="P22" s="351"/>
      <c r="Q22" s="351"/>
      <c r="R22" s="586">
        <f t="shared" si="14"/>
        <v>737.3</v>
      </c>
      <c r="S22" s="335">
        <f t="shared" si="1"/>
        <v>0</v>
      </c>
      <c r="T22" s="335">
        <v>0</v>
      </c>
      <c r="U22" s="335">
        <f t="shared" si="2"/>
        <v>0</v>
      </c>
      <c r="V22" s="96">
        <f t="shared" si="3"/>
        <v>0</v>
      </c>
      <c r="W22" s="96">
        <f t="shared" si="15"/>
        <v>0</v>
      </c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571"/>
      <c r="AK22" s="566"/>
      <c r="AL22" s="566"/>
      <c r="AM22" s="566"/>
      <c r="AN22" s="566"/>
      <c r="AO22" s="566"/>
      <c r="AP22" s="566"/>
      <c r="AQ22" s="566"/>
      <c r="AR22" s="566"/>
      <c r="AS22" s="566"/>
      <c r="AT22" s="566"/>
      <c r="AU22" s="566"/>
      <c r="AV22" s="602">
        <f t="shared" si="5"/>
        <v>0</v>
      </c>
      <c r="AW22" s="335">
        <f t="shared" si="6"/>
        <v>0</v>
      </c>
      <c r="AX22" s="335">
        <f t="shared" si="7"/>
        <v>0</v>
      </c>
      <c r="AY22" s="170"/>
      <c r="AZ22" s="102"/>
      <c r="BA22" s="186"/>
      <c r="BB22" s="266"/>
      <c r="BC22" s="186"/>
      <c r="BD22" s="186"/>
      <c r="BE22" s="186"/>
      <c r="BF22" s="549"/>
      <c r="BG22" s="550"/>
    </row>
    <row r="23" spans="1:70" s="14" customFormat="1" ht="33.75" customHeight="1" outlineLevel="2" x14ac:dyDescent="0.25">
      <c r="A23" s="5" t="s">
        <v>27</v>
      </c>
      <c r="B23" s="194" t="s">
        <v>571</v>
      </c>
      <c r="C23" s="137"/>
      <c r="D23" s="335">
        <v>4500</v>
      </c>
      <c r="E23" s="335">
        <v>12108.5</v>
      </c>
      <c r="F23" s="351">
        <v>155</v>
      </c>
      <c r="G23" s="351">
        <v>371.8</v>
      </c>
      <c r="H23" s="351">
        <v>554</v>
      </c>
      <c r="I23" s="351">
        <v>777.8</v>
      </c>
      <c r="J23" s="351">
        <f>116+23</f>
        <v>139</v>
      </c>
      <c r="K23" s="351">
        <v>166.5</v>
      </c>
      <c r="L23" s="351">
        <v>341.7</v>
      </c>
      <c r="M23" s="351"/>
      <c r="N23" s="351">
        <v>314.7</v>
      </c>
      <c r="O23" s="351">
        <v>4910.8</v>
      </c>
      <c r="P23" s="351">
        <f>21.6+212.7</f>
        <v>234.29999999999998</v>
      </c>
      <c r="Q23" s="351">
        <f>246.7+19.9+26.3+0.7+3849.4+32.3</f>
        <v>4175.3</v>
      </c>
      <c r="R23" s="586">
        <f t="shared" si="14"/>
        <v>12140.9</v>
      </c>
      <c r="S23" s="335">
        <f t="shared" si="1"/>
        <v>155</v>
      </c>
      <c r="T23" s="335">
        <v>4500</v>
      </c>
      <c r="U23" s="335">
        <f t="shared" si="2"/>
        <v>4500</v>
      </c>
      <c r="V23" s="96">
        <f t="shared" si="3"/>
        <v>4500</v>
      </c>
      <c r="W23" s="96">
        <f t="shared" ref="W23" si="17">X23+Y23+Z23</f>
        <v>500</v>
      </c>
      <c r="X23" s="96"/>
      <c r="Y23" s="96">
        <v>250</v>
      </c>
      <c r="Z23" s="96">
        <v>250</v>
      </c>
      <c r="AA23" s="96">
        <v>500</v>
      </c>
      <c r="AB23" s="96">
        <v>500</v>
      </c>
      <c r="AC23" s="96">
        <v>500</v>
      </c>
      <c r="AD23" s="96">
        <v>500</v>
      </c>
      <c r="AE23" s="96">
        <v>500</v>
      </c>
      <c r="AF23" s="96">
        <v>500</v>
      </c>
      <c r="AG23" s="96">
        <v>300</v>
      </c>
      <c r="AH23" s="96">
        <v>400</v>
      </c>
      <c r="AI23" s="96">
        <v>300</v>
      </c>
      <c r="AJ23" s="571">
        <v>231.5</v>
      </c>
      <c r="AK23" s="566"/>
      <c r="AL23" s="566"/>
      <c r="AM23" s="566"/>
      <c r="AN23" s="566"/>
      <c r="AO23" s="566"/>
      <c r="AP23" s="566"/>
      <c r="AQ23" s="566"/>
      <c r="AR23" s="566"/>
      <c r="AS23" s="566"/>
      <c r="AT23" s="566"/>
      <c r="AU23" s="566"/>
      <c r="AV23" s="602">
        <f t="shared" si="5"/>
        <v>231.5</v>
      </c>
      <c r="AW23" s="335">
        <f t="shared" si="6"/>
        <v>231.5</v>
      </c>
      <c r="AX23" s="335">
        <f t="shared" si="7"/>
        <v>-268.5</v>
      </c>
      <c r="AY23" s="170"/>
      <c r="AZ23" s="102"/>
      <c r="BA23" s="186"/>
      <c r="BB23" s="266"/>
      <c r="BC23" s="186"/>
      <c r="BD23" s="186"/>
      <c r="BE23" s="186"/>
      <c r="BF23" s="549"/>
      <c r="BG23" s="550"/>
    </row>
    <row r="24" spans="1:70" s="14" customFormat="1" ht="33.75" customHeight="1" outlineLevel="2" x14ac:dyDescent="0.25">
      <c r="A24" s="5" t="s">
        <v>28</v>
      </c>
      <c r="B24" s="194" t="s">
        <v>424</v>
      </c>
      <c r="C24" s="137"/>
      <c r="D24" s="335">
        <v>650</v>
      </c>
      <c r="E24" s="335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586">
        <f t="shared" si="14"/>
        <v>0</v>
      </c>
      <c r="S24" s="335">
        <f t="shared" si="1"/>
        <v>0</v>
      </c>
      <c r="T24" s="335">
        <v>250</v>
      </c>
      <c r="U24" s="335">
        <f t="shared" si="2"/>
        <v>250</v>
      </c>
      <c r="V24" s="96">
        <f t="shared" si="3"/>
        <v>250</v>
      </c>
      <c r="W24" s="96">
        <f t="shared" ref="W24:W25" si="18">X24+Y24+Z24</f>
        <v>0</v>
      </c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61">
        <v>250</v>
      </c>
      <c r="AJ24" s="571"/>
      <c r="AK24" s="566"/>
      <c r="AL24" s="566"/>
      <c r="AM24" s="566"/>
      <c r="AN24" s="566"/>
      <c r="AO24" s="566"/>
      <c r="AP24" s="566"/>
      <c r="AQ24" s="566"/>
      <c r="AR24" s="566"/>
      <c r="AS24" s="566"/>
      <c r="AT24" s="566"/>
      <c r="AU24" s="566"/>
      <c r="AV24" s="602">
        <f t="shared" si="5"/>
        <v>0</v>
      </c>
      <c r="AW24" s="335">
        <f t="shared" si="6"/>
        <v>0</v>
      </c>
      <c r="AX24" s="335">
        <f t="shared" si="7"/>
        <v>0</v>
      </c>
      <c r="AY24" s="170"/>
      <c r="AZ24" s="102"/>
      <c r="BA24" s="186"/>
      <c r="BB24" s="266"/>
      <c r="BC24" s="186"/>
      <c r="BD24" s="186"/>
      <c r="BE24" s="186"/>
      <c r="BF24" s="549"/>
      <c r="BG24" s="550"/>
    </row>
    <row r="25" spans="1:70" s="14" customFormat="1" ht="22.5" customHeight="1" outlineLevel="1" x14ac:dyDescent="0.25">
      <c r="A25" s="5" t="s">
        <v>29</v>
      </c>
      <c r="B25" s="194" t="s">
        <v>109</v>
      </c>
      <c r="C25" s="137"/>
      <c r="D25" s="335">
        <v>749.5</v>
      </c>
      <c r="E25" s="335">
        <v>842.3</v>
      </c>
      <c r="F25" s="351">
        <f>0.8+19.4+2.9+2+5.6</f>
        <v>30.699999999999996</v>
      </c>
      <c r="G25" s="351">
        <v>47.1</v>
      </c>
      <c r="H25" s="351">
        <v>26.7</v>
      </c>
      <c r="I25" s="351">
        <f>2.7+48</f>
        <v>50.7</v>
      </c>
      <c r="J25" s="351">
        <v>213.7</v>
      </c>
      <c r="K25" s="351">
        <f>25+16.9</f>
        <v>41.9</v>
      </c>
      <c r="L25" s="351">
        <v>61.6</v>
      </c>
      <c r="M25" s="351">
        <v>97.7</v>
      </c>
      <c r="N25" s="351">
        <v>34.299999999999997</v>
      </c>
      <c r="O25" s="351">
        <f>36.8+4.3</f>
        <v>41.099999999999994</v>
      </c>
      <c r="P25" s="351">
        <f>6.5+33.6+2.5+1</f>
        <v>43.6</v>
      </c>
      <c r="Q25" s="351">
        <f>0.8+2.5+0.5+2.3+1.5+3.7+2+133.8+5.4+0.8-13.4+1+2.8+14.8+0.2+1.8+0.7+2.5+1.4+0.5</f>
        <v>165.60000000000005</v>
      </c>
      <c r="R25" s="586">
        <f t="shared" si="14"/>
        <v>854.7</v>
      </c>
      <c r="S25" s="335">
        <f t="shared" si="1"/>
        <v>30.699999999999996</v>
      </c>
      <c r="T25" s="335">
        <v>951.3</v>
      </c>
      <c r="U25" s="335">
        <f t="shared" si="2"/>
        <v>951.3</v>
      </c>
      <c r="V25" s="96">
        <f t="shared" si="3"/>
        <v>951.3</v>
      </c>
      <c r="W25" s="96">
        <f t="shared" si="18"/>
        <v>121.3</v>
      </c>
      <c r="X25" s="96"/>
      <c r="Y25" s="96">
        <v>70</v>
      </c>
      <c r="Z25" s="96">
        <v>51.3</v>
      </c>
      <c r="AA25" s="96">
        <v>50</v>
      </c>
      <c r="AB25" s="96">
        <v>130</v>
      </c>
      <c r="AC25" s="96">
        <v>100</v>
      </c>
      <c r="AD25" s="96">
        <v>100</v>
      </c>
      <c r="AE25" s="96">
        <v>100</v>
      </c>
      <c r="AF25" s="96">
        <v>100</v>
      </c>
      <c r="AG25" s="96">
        <v>100</v>
      </c>
      <c r="AH25" s="96">
        <v>100</v>
      </c>
      <c r="AI25" s="161">
        <v>50</v>
      </c>
      <c r="AJ25" s="571">
        <f>11.5+10</f>
        <v>21.5</v>
      </c>
      <c r="AK25" s="566"/>
      <c r="AL25" s="566"/>
      <c r="AM25" s="566"/>
      <c r="AN25" s="566"/>
      <c r="AO25" s="566"/>
      <c r="AP25" s="566"/>
      <c r="AQ25" s="566"/>
      <c r="AR25" s="566"/>
      <c r="AS25" s="566"/>
      <c r="AT25" s="566"/>
      <c r="AU25" s="566"/>
      <c r="AV25" s="602">
        <f t="shared" si="5"/>
        <v>21.5</v>
      </c>
      <c r="AW25" s="335">
        <f t="shared" si="6"/>
        <v>21.5</v>
      </c>
      <c r="AX25" s="335">
        <f t="shared" si="7"/>
        <v>-99.8</v>
      </c>
      <c r="AY25" s="170"/>
      <c r="AZ25" s="102"/>
      <c r="BA25" s="186"/>
      <c r="BB25" s="266"/>
      <c r="BC25" s="186"/>
      <c r="BD25" s="186"/>
      <c r="BE25" s="186"/>
      <c r="BF25" s="549"/>
      <c r="BG25" s="550"/>
    </row>
    <row r="26" spans="1:70" s="317" customFormat="1" ht="30.75" customHeight="1" outlineLevel="1" x14ac:dyDescent="0.25">
      <c r="A26" s="315"/>
      <c r="B26" s="97" t="s">
        <v>178</v>
      </c>
      <c r="C26" s="316"/>
      <c r="D26" s="335">
        <v>0</v>
      </c>
      <c r="E26" s="335">
        <v>0.6</v>
      </c>
      <c r="F26" s="176">
        <v>0.1</v>
      </c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>
        <v>0.5</v>
      </c>
      <c r="R26" s="586">
        <f t="shared" si="14"/>
        <v>0.6</v>
      </c>
      <c r="S26" s="335">
        <f t="shared" si="1"/>
        <v>0.1</v>
      </c>
      <c r="T26" s="335">
        <v>0</v>
      </c>
      <c r="U26" s="335">
        <f t="shared" si="2"/>
        <v>0</v>
      </c>
      <c r="V26" s="96">
        <f t="shared" si="3"/>
        <v>0</v>
      </c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5"/>
      <c r="AI26" s="335"/>
      <c r="AJ26" s="571"/>
      <c r="AK26" s="566"/>
      <c r="AL26" s="566"/>
      <c r="AM26" s="566"/>
      <c r="AN26" s="566"/>
      <c r="AO26" s="566"/>
      <c r="AP26" s="566"/>
      <c r="AQ26" s="566"/>
      <c r="AR26" s="566"/>
      <c r="AS26" s="566"/>
      <c r="AT26" s="566"/>
      <c r="AU26" s="566"/>
      <c r="AV26" s="602">
        <f t="shared" si="5"/>
        <v>0</v>
      </c>
      <c r="AW26" s="335">
        <f t="shared" si="6"/>
        <v>0</v>
      </c>
      <c r="AX26" s="335">
        <f t="shared" si="7"/>
        <v>0</v>
      </c>
      <c r="AY26" s="170"/>
      <c r="AZ26" s="102"/>
      <c r="BA26" s="186"/>
      <c r="BB26" s="266"/>
      <c r="BC26" s="186"/>
      <c r="BD26" s="186"/>
      <c r="BE26" s="186"/>
      <c r="BF26" s="268"/>
      <c r="BG26" s="550"/>
    </row>
    <row r="27" spans="1:70" s="317" customFormat="1" ht="18.75" hidden="1" customHeight="1" outlineLevel="1" x14ac:dyDescent="0.25">
      <c r="A27" s="315"/>
      <c r="B27" s="197" t="s">
        <v>452</v>
      </c>
      <c r="C27" s="316"/>
      <c r="D27" s="335">
        <v>0</v>
      </c>
      <c r="E27" s="335">
        <v>0</v>
      </c>
      <c r="F27" s="174"/>
      <c r="G27" s="176"/>
      <c r="H27" s="176"/>
      <c r="I27" s="176"/>
      <c r="J27" s="176"/>
      <c r="K27" s="176">
        <v>2.2000000000000002</v>
      </c>
      <c r="L27" s="176">
        <v>-2.2000000000000002</v>
      </c>
      <c r="M27" s="176"/>
      <c r="N27" s="176"/>
      <c r="O27" s="176"/>
      <c r="P27" s="176">
        <v>11.7</v>
      </c>
      <c r="Q27" s="176">
        <f>-11.7</f>
        <v>-11.7</v>
      </c>
      <c r="R27" s="586">
        <f t="shared" si="14"/>
        <v>0</v>
      </c>
      <c r="S27" s="335">
        <f t="shared" si="1"/>
        <v>0</v>
      </c>
      <c r="T27" s="335">
        <v>0</v>
      </c>
      <c r="U27" s="335">
        <f t="shared" si="2"/>
        <v>0</v>
      </c>
      <c r="V27" s="96">
        <f t="shared" si="3"/>
        <v>0</v>
      </c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571"/>
      <c r="AK27" s="566"/>
      <c r="AL27" s="566"/>
      <c r="AM27" s="566"/>
      <c r="AN27" s="566"/>
      <c r="AO27" s="566"/>
      <c r="AP27" s="566"/>
      <c r="AQ27" s="566"/>
      <c r="AR27" s="566"/>
      <c r="AS27" s="566"/>
      <c r="AT27" s="566"/>
      <c r="AU27" s="566"/>
      <c r="AV27" s="602">
        <f t="shared" si="5"/>
        <v>0</v>
      </c>
      <c r="AW27" s="335">
        <f t="shared" si="6"/>
        <v>0</v>
      </c>
      <c r="AX27" s="335">
        <f t="shared" si="7"/>
        <v>0</v>
      </c>
      <c r="AY27" s="170"/>
      <c r="AZ27" s="102"/>
      <c r="BA27" s="186"/>
      <c r="BB27" s="266"/>
      <c r="BC27" s="186"/>
      <c r="BD27" s="186"/>
      <c r="BE27" s="186"/>
      <c r="BF27" s="268"/>
      <c r="BG27" s="550"/>
    </row>
    <row r="28" spans="1:70" s="317" customFormat="1" ht="32.25" customHeight="1" outlineLevel="1" x14ac:dyDescent="0.25">
      <c r="A28" s="315"/>
      <c r="B28" s="197" t="s">
        <v>673</v>
      </c>
      <c r="C28" s="316"/>
      <c r="D28" s="335"/>
      <c r="E28" s="335"/>
      <c r="F28" s="174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586">
        <v>0</v>
      </c>
      <c r="S28" s="335"/>
      <c r="T28" s="335">
        <v>0</v>
      </c>
      <c r="U28" s="335">
        <f>311.5+286.1+1294</f>
        <v>1891.6</v>
      </c>
      <c r="V28" s="96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571"/>
      <c r="AK28" s="566"/>
      <c r="AL28" s="566"/>
      <c r="AM28" s="566"/>
      <c r="AN28" s="566"/>
      <c r="AO28" s="566"/>
      <c r="AP28" s="566"/>
      <c r="AQ28" s="566"/>
      <c r="AR28" s="566"/>
      <c r="AS28" s="566"/>
      <c r="AT28" s="566"/>
      <c r="AU28" s="566"/>
      <c r="AV28" s="602">
        <f t="shared" si="5"/>
        <v>0</v>
      </c>
      <c r="AW28" s="335">
        <f t="shared" si="6"/>
        <v>0</v>
      </c>
      <c r="AX28" s="335">
        <f t="shared" si="7"/>
        <v>0</v>
      </c>
      <c r="AY28" s="170"/>
      <c r="AZ28" s="102"/>
      <c r="BA28" s="186"/>
      <c r="BB28" s="266"/>
      <c r="BC28" s="186"/>
      <c r="BD28" s="186"/>
      <c r="BE28" s="186"/>
      <c r="BF28" s="268"/>
      <c r="BG28" s="550"/>
    </row>
    <row r="29" spans="1:70" s="317" customFormat="1" ht="23.25" customHeight="1" outlineLevel="1" x14ac:dyDescent="0.25">
      <c r="A29" s="315"/>
      <c r="B29" s="197" t="s">
        <v>674</v>
      </c>
      <c r="C29" s="316"/>
      <c r="D29" s="335">
        <v>0</v>
      </c>
      <c r="E29" s="335">
        <v>695.4</v>
      </c>
      <c r="F29" s="174"/>
      <c r="G29" s="174"/>
      <c r="H29" s="174"/>
      <c r="I29" s="176"/>
      <c r="J29" s="176">
        <f>109.7+190.5</f>
        <v>300.2</v>
      </c>
      <c r="K29" s="176">
        <f>80.1+309.5</f>
        <v>389.6</v>
      </c>
      <c r="L29" s="176">
        <v>5.6</v>
      </c>
      <c r="M29" s="176"/>
      <c r="N29" s="176"/>
      <c r="O29" s="174"/>
      <c r="P29" s="176"/>
      <c r="Q29" s="174"/>
      <c r="R29" s="586">
        <f>SUM(F29:Q29)</f>
        <v>695.4</v>
      </c>
      <c r="S29" s="335">
        <f t="shared" si="1"/>
        <v>0</v>
      </c>
      <c r="T29" s="335">
        <v>0</v>
      </c>
      <c r="U29" s="335">
        <v>507.9</v>
      </c>
      <c r="V29" s="96">
        <f t="shared" si="3"/>
        <v>0</v>
      </c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571"/>
      <c r="AK29" s="566"/>
      <c r="AL29" s="566"/>
      <c r="AM29" s="566"/>
      <c r="AN29" s="566"/>
      <c r="AO29" s="566"/>
      <c r="AP29" s="566"/>
      <c r="AQ29" s="566"/>
      <c r="AR29" s="566"/>
      <c r="AS29" s="566"/>
      <c r="AT29" s="566"/>
      <c r="AU29" s="566"/>
      <c r="AV29" s="602">
        <f t="shared" si="5"/>
        <v>0</v>
      </c>
      <c r="AW29" s="335">
        <f t="shared" si="6"/>
        <v>0</v>
      </c>
      <c r="AX29" s="335">
        <f t="shared" si="7"/>
        <v>0</v>
      </c>
      <c r="AY29" s="170"/>
      <c r="AZ29" s="102"/>
      <c r="BA29" s="186"/>
      <c r="BB29" s="266"/>
      <c r="BC29" s="186"/>
      <c r="BD29" s="186"/>
      <c r="BE29" s="186"/>
      <c r="BF29" s="268"/>
      <c r="BG29" s="550"/>
    </row>
    <row r="30" spans="1:70" s="14" customFormat="1" ht="24.75" customHeight="1" outlineLevel="1" x14ac:dyDescent="0.25">
      <c r="A30" s="5"/>
      <c r="B30" s="568" t="s">
        <v>146</v>
      </c>
      <c r="C30" s="569"/>
      <c r="D30" s="570">
        <f t="shared" ref="D30:R30" si="19">SUM(D15:D29)</f>
        <v>13360.9</v>
      </c>
      <c r="E30" s="570">
        <f t="shared" si="19"/>
        <v>21757.3</v>
      </c>
      <c r="F30" s="570">
        <f t="shared" si="19"/>
        <v>540.80000000000007</v>
      </c>
      <c r="G30" s="570">
        <f t="shared" si="19"/>
        <v>1295.8</v>
      </c>
      <c r="H30" s="570">
        <f t="shared" si="19"/>
        <v>1385.2</v>
      </c>
      <c r="I30" s="570">
        <f t="shared" si="19"/>
        <v>1530.9</v>
      </c>
      <c r="J30" s="570">
        <f t="shared" si="19"/>
        <v>1360.7000000000003</v>
      </c>
      <c r="K30" s="570">
        <f t="shared" si="19"/>
        <v>1140.4000000000001</v>
      </c>
      <c r="L30" s="570">
        <f t="shared" si="19"/>
        <v>1809.1999999999998</v>
      </c>
      <c r="M30" s="570">
        <f t="shared" si="19"/>
        <v>520.29999999999995</v>
      </c>
      <c r="N30" s="570">
        <f t="shared" si="19"/>
        <v>784.19999999999993</v>
      </c>
      <c r="O30" s="570">
        <f t="shared" si="19"/>
        <v>5808.6</v>
      </c>
      <c r="P30" s="570">
        <f t="shared" si="19"/>
        <v>685.1</v>
      </c>
      <c r="Q30" s="570">
        <f t="shared" si="19"/>
        <v>5011.5000000000009</v>
      </c>
      <c r="R30" s="570">
        <f t="shared" si="19"/>
        <v>21872.7</v>
      </c>
      <c r="S30" s="570">
        <f t="shared" ref="S30:AX30" si="20">SUM(S15:S29)</f>
        <v>540.80000000000007</v>
      </c>
      <c r="T30" s="570">
        <f t="shared" si="20"/>
        <v>13076.599999999999</v>
      </c>
      <c r="U30" s="570">
        <f t="shared" si="20"/>
        <v>15476.099999999999</v>
      </c>
      <c r="V30" s="570">
        <f t="shared" si="20"/>
        <v>13076.599999999999</v>
      </c>
      <c r="W30" s="570">
        <f t="shared" si="20"/>
        <v>2131.3000000000002</v>
      </c>
      <c r="X30" s="570">
        <f t="shared" si="20"/>
        <v>300</v>
      </c>
      <c r="Y30" s="570">
        <f t="shared" si="20"/>
        <v>1010</v>
      </c>
      <c r="Z30" s="570">
        <f t="shared" si="20"/>
        <v>821.3</v>
      </c>
      <c r="AA30" s="570">
        <f t="shared" si="20"/>
        <v>1307</v>
      </c>
      <c r="AB30" s="570">
        <f t="shared" si="20"/>
        <v>1314</v>
      </c>
      <c r="AC30" s="570">
        <f t="shared" si="20"/>
        <v>1132</v>
      </c>
      <c r="AD30" s="570">
        <f t="shared" si="20"/>
        <v>1311</v>
      </c>
      <c r="AE30" s="570">
        <f t="shared" si="20"/>
        <v>1150</v>
      </c>
      <c r="AF30" s="570">
        <f t="shared" si="20"/>
        <v>1155</v>
      </c>
      <c r="AG30" s="570">
        <f t="shared" si="20"/>
        <v>1000</v>
      </c>
      <c r="AH30" s="570">
        <f t="shared" si="20"/>
        <v>1125.3</v>
      </c>
      <c r="AI30" s="570">
        <f t="shared" si="20"/>
        <v>1451</v>
      </c>
      <c r="AJ30" s="570">
        <f t="shared" si="20"/>
        <v>642.1</v>
      </c>
      <c r="AK30" s="570">
        <f t="shared" si="20"/>
        <v>0</v>
      </c>
      <c r="AL30" s="570">
        <f t="shared" si="20"/>
        <v>0</v>
      </c>
      <c r="AM30" s="570">
        <f t="shared" si="20"/>
        <v>0</v>
      </c>
      <c r="AN30" s="570">
        <f t="shared" si="20"/>
        <v>0</v>
      </c>
      <c r="AO30" s="570">
        <f t="shared" si="20"/>
        <v>0</v>
      </c>
      <c r="AP30" s="570">
        <f t="shared" si="20"/>
        <v>0</v>
      </c>
      <c r="AQ30" s="570">
        <f t="shared" si="20"/>
        <v>0</v>
      </c>
      <c r="AR30" s="570">
        <f t="shared" si="20"/>
        <v>0</v>
      </c>
      <c r="AS30" s="570">
        <f t="shared" si="20"/>
        <v>0</v>
      </c>
      <c r="AT30" s="570">
        <f t="shared" si="20"/>
        <v>0</v>
      </c>
      <c r="AU30" s="570">
        <f t="shared" si="20"/>
        <v>0</v>
      </c>
      <c r="AV30" s="598">
        <f t="shared" si="20"/>
        <v>642.1</v>
      </c>
      <c r="AW30" s="570">
        <f t="shared" si="20"/>
        <v>342.1</v>
      </c>
      <c r="AX30" s="570">
        <f t="shared" si="20"/>
        <v>-1489.2</v>
      </c>
      <c r="AY30" s="333"/>
      <c r="AZ30" s="236"/>
      <c r="BA30" s="266"/>
      <c r="BB30" s="236"/>
      <c r="BC30" s="266"/>
      <c r="BD30" s="266"/>
      <c r="BE30" s="236"/>
      <c r="BF30" s="236"/>
      <c r="BG30" s="236"/>
    </row>
    <row r="31" spans="1:70" s="14" customFormat="1" ht="39" outlineLevel="1" x14ac:dyDescent="0.25">
      <c r="A31" s="5"/>
      <c r="B31" s="577" t="s">
        <v>110</v>
      </c>
      <c r="C31" s="578"/>
      <c r="D31" s="174">
        <f t="shared" ref="D31:R31" si="21">D30+D14</f>
        <v>356952</v>
      </c>
      <c r="E31" s="174">
        <f t="shared" si="21"/>
        <v>365348.39999999997</v>
      </c>
      <c r="F31" s="174">
        <f t="shared" si="21"/>
        <v>12471.3</v>
      </c>
      <c r="G31" s="174">
        <f t="shared" si="21"/>
        <v>24051</v>
      </c>
      <c r="H31" s="174">
        <f t="shared" si="21"/>
        <v>25095.100000000002</v>
      </c>
      <c r="I31" s="174">
        <f t="shared" si="21"/>
        <v>36773.300000000003</v>
      </c>
      <c r="J31" s="174">
        <f t="shared" si="21"/>
        <v>22914.199999999997</v>
      </c>
      <c r="K31" s="174">
        <f t="shared" si="21"/>
        <v>29590.899999999994</v>
      </c>
      <c r="L31" s="174">
        <f t="shared" si="21"/>
        <v>37604.099999999991</v>
      </c>
      <c r="M31" s="174">
        <f t="shared" si="21"/>
        <v>25754.100000000002</v>
      </c>
      <c r="N31" s="174">
        <f t="shared" si="21"/>
        <v>29006.600000000002</v>
      </c>
      <c r="O31" s="174">
        <f t="shared" si="21"/>
        <v>42023.500000000007</v>
      </c>
      <c r="P31" s="174">
        <f t="shared" si="21"/>
        <v>31902.999999999993</v>
      </c>
      <c r="Q31" s="174">
        <f t="shared" si="21"/>
        <v>56588.39999999998</v>
      </c>
      <c r="R31" s="570">
        <f t="shared" si="21"/>
        <v>373775.5</v>
      </c>
      <c r="S31" s="174">
        <f t="shared" ref="S31:AX31" si="22">S30+S14</f>
        <v>12471.3</v>
      </c>
      <c r="T31" s="174">
        <f t="shared" si="22"/>
        <v>390794.8</v>
      </c>
      <c r="U31" s="174">
        <f t="shared" si="22"/>
        <v>393194.3</v>
      </c>
      <c r="V31" s="174">
        <f t="shared" si="22"/>
        <v>390794.8</v>
      </c>
      <c r="W31" s="174">
        <f t="shared" si="22"/>
        <v>58194.400000000001</v>
      </c>
      <c r="X31" s="174">
        <f t="shared" si="22"/>
        <v>9479.2000000000007</v>
      </c>
      <c r="Y31" s="174">
        <f t="shared" si="22"/>
        <v>23341.3</v>
      </c>
      <c r="Z31" s="174">
        <f t="shared" si="22"/>
        <v>25373.899999999998</v>
      </c>
      <c r="AA31" s="174">
        <f t="shared" si="22"/>
        <v>34513.699999999997</v>
      </c>
      <c r="AB31" s="174">
        <f t="shared" si="22"/>
        <v>22526.799999999999</v>
      </c>
      <c r="AC31" s="174">
        <f t="shared" si="22"/>
        <v>31054.2</v>
      </c>
      <c r="AD31" s="174">
        <f t="shared" si="22"/>
        <v>36200.500000000007</v>
      </c>
      <c r="AE31" s="174">
        <f t="shared" si="22"/>
        <v>26646.7</v>
      </c>
      <c r="AF31" s="174">
        <f t="shared" si="22"/>
        <v>29217.9</v>
      </c>
      <c r="AG31" s="174">
        <f t="shared" si="22"/>
        <v>35595.1</v>
      </c>
      <c r="AH31" s="174">
        <f t="shared" si="22"/>
        <v>32409.3</v>
      </c>
      <c r="AI31" s="174">
        <f t="shared" si="22"/>
        <v>84436.2</v>
      </c>
      <c r="AJ31" s="174">
        <f t="shared" si="22"/>
        <v>9782.0999999999985</v>
      </c>
      <c r="AK31" s="174">
        <f t="shared" si="22"/>
        <v>0</v>
      </c>
      <c r="AL31" s="174">
        <f t="shared" si="22"/>
        <v>0</v>
      </c>
      <c r="AM31" s="174">
        <f t="shared" si="22"/>
        <v>0</v>
      </c>
      <c r="AN31" s="174">
        <f t="shared" si="22"/>
        <v>0</v>
      </c>
      <c r="AO31" s="174">
        <f t="shared" si="22"/>
        <v>0</v>
      </c>
      <c r="AP31" s="174">
        <f t="shared" si="22"/>
        <v>0</v>
      </c>
      <c r="AQ31" s="174">
        <f t="shared" si="22"/>
        <v>0</v>
      </c>
      <c r="AR31" s="174">
        <f t="shared" si="22"/>
        <v>0</v>
      </c>
      <c r="AS31" s="174">
        <f t="shared" si="22"/>
        <v>0</v>
      </c>
      <c r="AT31" s="174">
        <f t="shared" si="22"/>
        <v>0</v>
      </c>
      <c r="AU31" s="174">
        <f t="shared" si="22"/>
        <v>0</v>
      </c>
      <c r="AV31" s="598">
        <f t="shared" si="22"/>
        <v>9782.0999999999985</v>
      </c>
      <c r="AW31" s="174">
        <f t="shared" si="22"/>
        <v>302.89999999999964</v>
      </c>
      <c r="AX31" s="174">
        <f t="shared" si="22"/>
        <v>-48412.299999999996</v>
      </c>
      <c r="AY31" s="169"/>
      <c r="AZ31" s="106"/>
      <c r="BA31" s="187"/>
      <c r="BB31" s="106"/>
      <c r="BC31" s="187"/>
      <c r="BD31" s="187"/>
      <c r="BE31" s="106"/>
      <c r="BF31" s="106"/>
      <c r="BG31" s="106"/>
      <c r="BK31" s="189"/>
    </row>
    <row r="32" spans="1:70" s="555" customFormat="1" ht="28.5" customHeight="1" x14ac:dyDescent="0.25">
      <c r="A32" s="8"/>
      <c r="B32" s="575" t="s">
        <v>30</v>
      </c>
      <c r="C32" s="576"/>
      <c r="D32" s="570" t="e">
        <f t="shared" ref="D32:AX32" si="23">D34+D37+D75+D105+D115+D117+D118+D116</f>
        <v>#REF!</v>
      </c>
      <c r="E32" s="570" t="e">
        <f t="shared" si="23"/>
        <v>#REF!</v>
      </c>
      <c r="F32" s="570" t="e">
        <f t="shared" si="23"/>
        <v>#REF!</v>
      </c>
      <c r="G32" s="570" t="e">
        <f t="shared" si="23"/>
        <v>#REF!</v>
      </c>
      <c r="H32" s="570" t="e">
        <f t="shared" si="23"/>
        <v>#REF!</v>
      </c>
      <c r="I32" s="570" t="e">
        <f t="shared" si="23"/>
        <v>#REF!</v>
      </c>
      <c r="J32" s="570" t="e">
        <f t="shared" si="23"/>
        <v>#REF!</v>
      </c>
      <c r="K32" s="570" t="e">
        <f t="shared" si="23"/>
        <v>#REF!</v>
      </c>
      <c r="L32" s="570" t="e">
        <f t="shared" si="23"/>
        <v>#REF!</v>
      </c>
      <c r="M32" s="570" t="e">
        <f t="shared" si="23"/>
        <v>#REF!</v>
      </c>
      <c r="N32" s="570" t="e">
        <f t="shared" si="23"/>
        <v>#REF!</v>
      </c>
      <c r="O32" s="570" t="e">
        <f t="shared" si="23"/>
        <v>#REF!</v>
      </c>
      <c r="P32" s="570" t="e">
        <f t="shared" si="23"/>
        <v>#REF!</v>
      </c>
      <c r="Q32" s="570" t="e">
        <f t="shared" si="23"/>
        <v>#REF!</v>
      </c>
      <c r="R32" s="570">
        <f t="shared" si="23"/>
        <v>857058.80000000016</v>
      </c>
      <c r="S32" s="570">
        <f t="shared" si="23"/>
        <v>57313.2</v>
      </c>
      <c r="T32" s="570">
        <f t="shared" si="23"/>
        <v>713369.9</v>
      </c>
      <c r="U32" s="570">
        <f t="shared" si="23"/>
        <v>709038.4</v>
      </c>
      <c r="V32" s="570">
        <f t="shared" si="23"/>
        <v>0</v>
      </c>
      <c r="W32" s="570">
        <f t="shared" si="23"/>
        <v>47658.999999999993</v>
      </c>
      <c r="X32" s="570">
        <f t="shared" si="23"/>
        <v>47658.999999999993</v>
      </c>
      <c r="Y32" s="570">
        <f t="shared" si="23"/>
        <v>0</v>
      </c>
      <c r="Z32" s="570">
        <f t="shared" si="23"/>
        <v>0</v>
      </c>
      <c r="AA32" s="570">
        <f t="shared" si="23"/>
        <v>0</v>
      </c>
      <c r="AB32" s="570">
        <f t="shared" si="23"/>
        <v>0</v>
      </c>
      <c r="AC32" s="570">
        <f t="shared" si="23"/>
        <v>0</v>
      </c>
      <c r="AD32" s="570">
        <f t="shared" si="23"/>
        <v>0</v>
      </c>
      <c r="AE32" s="570">
        <f t="shared" si="23"/>
        <v>0</v>
      </c>
      <c r="AF32" s="570">
        <f t="shared" si="23"/>
        <v>0</v>
      </c>
      <c r="AG32" s="570">
        <f t="shared" si="23"/>
        <v>0</v>
      </c>
      <c r="AH32" s="570">
        <f t="shared" si="23"/>
        <v>0</v>
      </c>
      <c r="AI32" s="570">
        <f t="shared" si="23"/>
        <v>0</v>
      </c>
      <c r="AJ32" s="570">
        <f t="shared" si="23"/>
        <v>47658.999999999993</v>
      </c>
      <c r="AK32" s="570">
        <f t="shared" si="23"/>
        <v>0</v>
      </c>
      <c r="AL32" s="570">
        <f t="shared" si="23"/>
        <v>0</v>
      </c>
      <c r="AM32" s="570">
        <f t="shared" si="23"/>
        <v>0</v>
      </c>
      <c r="AN32" s="570">
        <f t="shared" si="23"/>
        <v>0</v>
      </c>
      <c r="AO32" s="570">
        <f t="shared" si="23"/>
        <v>0</v>
      </c>
      <c r="AP32" s="570">
        <f t="shared" si="23"/>
        <v>0</v>
      </c>
      <c r="AQ32" s="570">
        <f t="shared" si="23"/>
        <v>0</v>
      </c>
      <c r="AR32" s="570">
        <f t="shared" si="23"/>
        <v>0</v>
      </c>
      <c r="AS32" s="570">
        <f t="shared" si="23"/>
        <v>0</v>
      </c>
      <c r="AT32" s="570">
        <f t="shared" si="23"/>
        <v>0</v>
      </c>
      <c r="AU32" s="570">
        <f t="shared" si="23"/>
        <v>0</v>
      </c>
      <c r="AV32" s="598">
        <f t="shared" si="23"/>
        <v>47658.999999999993</v>
      </c>
      <c r="AW32" s="570">
        <f t="shared" si="23"/>
        <v>0</v>
      </c>
      <c r="AX32" s="570">
        <f t="shared" si="23"/>
        <v>0</v>
      </c>
      <c r="AY32" s="169"/>
      <c r="AZ32" s="106"/>
      <c r="BA32" s="187"/>
      <c r="BB32" s="106"/>
      <c r="BC32" s="187"/>
      <c r="BD32" s="187"/>
      <c r="BE32" s="72"/>
      <c r="BR32" s="72"/>
    </row>
    <row r="33" spans="1:70" s="555" customFormat="1" ht="29.25" customHeight="1" x14ac:dyDescent="0.25">
      <c r="A33" s="8"/>
      <c r="B33" s="242" t="s">
        <v>291</v>
      </c>
      <c r="C33" s="25"/>
      <c r="D33" s="174" t="e">
        <f t="shared" ref="D33:R33" si="24">D34+D37+D75+D105</f>
        <v>#REF!</v>
      </c>
      <c r="E33" s="174" t="e">
        <f t="shared" si="24"/>
        <v>#REF!</v>
      </c>
      <c r="F33" s="174" t="e">
        <f t="shared" si="24"/>
        <v>#REF!</v>
      </c>
      <c r="G33" s="174" t="e">
        <f t="shared" si="24"/>
        <v>#REF!</v>
      </c>
      <c r="H33" s="174" t="e">
        <f t="shared" si="24"/>
        <v>#REF!</v>
      </c>
      <c r="I33" s="174" t="e">
        <f t="shared" si="24"/>
        <v>#REF!</v>
      </c>
      <c r="J33" s="174" t="e">
        <f t="shared" si="24"/>
        <v>#REF!</v>
      </c>
      <c r="K33" s="174" t="e">
        <f t="shared" si="24"/>
        <v>#REF!</v>
      </c>
      <c r="L33" s="174" t="e">
        <f t="shared" si="24"/>
        <v>#REF!</v>
      </c>
      <c r="M33" s="174" t="e">
        <f t="shared" si="24"/>
        <v>#REF!</v>
      </c>
      <c r="N33" s="174" t="e">
        <f t="shared" si="24"/>
        <v>#REF!</v>
      </c>
      <c r="O33" s="174" t="e">
        <f t="shared" si="24"/>
        <v>#REF!</v>
      </c>
      <c r="P33" s="174" t="e">
        <f t="shared" si="24"/>
        <v>#REF!</v>
      </c>
      <c r="Q33" s="174" t="e">
        <f t="shared" si="24"/>
        <v>#REF!</v>
      </c>
      <c r="R33" s="570">
        <f t="shared" si="24"/>
        <v>856919.90000000014</v>
      </c>
      <c r="S33" s="174">
        <f t="shared" ref="S33" si="25">S34+S37+S75+S105</f>
        <v>63010.5</v>
      </c>
      <c r="T33" s="174">
        <f t="shared" ref="T33" si="26">T34+T37+T75+T105</f>
        <v>713369.9</v>
      </c>
      <c r="U33" s="174">
        <f t="shared" ref="U33" si="27">U34+U37+U75+U105</f>
        <v>712117.70000000007</v>
      </c>
      <c r="V33" s="174">
        <f t="shared" ref="V33" si="28">V34+V37+V75+V105</f>
        <v>0</v>
      </c>
      <c r="W33" s="174">
        <f t="shared" ref="W33" si="29">W34+W37+W75+W105</f>
        <v>50738.299999999996</v>
      </c>
      <c r="X33" s="174">
        <f t="shared" ref="X33" si="30">X34+X37+X75+X105</f>
        <v>50738.299999999996</v>
      </c>
      <c r="Y33" s="174">
        <f t="shared" ref="Y33" si="31">Y34+Y37+Y75+Y105</f>
        <v>0</v>
      </c>
      <c r="Z33" s="174">
        <f t="shared" ref="Z33" si="32">Z34+Z37+Z75+Z105</f>
        <v>0</v>
      </c>
      <c r="AA33" s="174">
        <f t="shared" ref="AA33" si="33">AA34+AA37+AA75+AA105</f>
        <v>0</v>
      </c>
      <c r="AB33" s="174">
        <f t="shared" ref="AB33" si="34">AB34+AB37+AB75+AB105</f>
        <v>0</v>
      </c>
      <c r="AC33" s="174">
        <f t="shared" ref="AC33" si="35">AC34+AC37+AC75+AC105</f>
        <v>0</v>
      </c>
      <c r="AD33" s="174">
        <f t="shared" ref="AD33" si="36">AD34+AD37+AD75+AD105</f>
        <v>0</v>
      </c>
      <c r="AE33" s="174">
        <f t="shared" ref="AE33" si="37">AE34+AE37+AE75+AE105</f>
        <v>0</v>
      </c>
      <c r="AF33" s="174">
        <f t="shared" ref="AF33" si="38">AF34+AF37+AF75+AF105</f>
        <v>0</v>
      </c>
      <c r="AG33" s="174">
        <f t="shared" ref="AG33" si="39">AG34+AG37+AG75+AG105</f>
        <v>0</v>
      </c>
      <c r="AH33" s="174">
        <f t="shared" ref="AH33" si="40">AH34+AH37+AH75+AH105</f>
        <v>0</v>
      </c>
      <c r="AI33" s="174">
        <f t="shared" ref="AI33" si="41">AI34+AI37+AI75+AI105</f>
        <v>0</v>
      </c>
      <c r="AJ33" s="174">
        <f t="shared" ref="AJ33" si="42">AJ34+AJ37+AJ75+AJ105</f>
        <v>50738.299999999996</v>
      </c>
      <c r="AK33" s="174">
        <f t="shared" ref="AK33" si="43">AK34+AK37+AK75+AK105</f>
        <v>0</v>
      </c>
      <c r="AL33" s="174">
        <f t="shared" ref="AL33" si="44">AL34+AL37+AL75+AL105</f>
        <v>0</v>
      </c>
      <c r="AM33" s="174">
        <f t="shared" ref="AM33" si="45">AM34+AM37+AM75+AM105</f>
        <v>0</v>
      </c>
      <c r="AN33" s="174">
        <f t="shared" ref="AN33" si="46">AN34+AN37+AN75+AN105</f>
        <v>0</v>
      </c>
      <c r="AO33" s="174">
        <f t="shared" ref="AO33" si="47">AO34+AO37+AO75+AO105</f>
        <v>0</v>
      </c>
      <c r="AP33" s="174">
        <f t="shared" ref="AP33" si="48">AP34+AP37+AP75+AP105</f>
        <v>0</v>
      </c>
      <c r="AQ33" s="174">
        <f t="shared" ref="AQ33" si="49">AQ34+AQ37+AQ75+AQ105</f>
        <v>0</v>
      </c>
      <c r="AR33" s="174">
        <f t="shared" ref="AR33" si="50">AR34+AR37+AR75+AR105</f>
        <v>0</v>
      </c>
      <c r="AS33" s="174">
        <f t="shared" ref="AS33" si="51">AS34+AS37+AS75+AS105</f>
        <v>0</v>
      </c>
      <c r="AT33" s="174">
        <f t="shared" ref="AT33" si="52">AT34+AT37+AT75+AT105</f>
        <v>0</v>
      </c>
      <c r="AU33" s="174">
        <f t="shared" ref="AU33" si="53">AU34+AU37+AU75+AU105</f>
        <v>0</v>
      </c>
      <c r="AV33" s="598">
        <f t="shared" ref="AV33" si="54">AV34+AV37+AV75+AV105</f>
        <v>50738.299999999996</v>
      </c>
      <c r="AW33" s="174">
        <f t="shared" ref="AW33" si="55">AW34+AW37+AW75+AW105</f>
        <v>0</v>
      </c>
      <c r="AX33" s="174">
        <f t="shared" ref="AX33" si="56">AX34+AX37+AX75+AX105</f>
        <v>0</v>
      </c>
      <c r="AY33" s="170"/>
      <c r="AZ33" s="174"/>
      <c r="BA33" s="347"/>
      <c r="BB33" s="174"/>
      <c r="BC33" s="186"/>
      <c r="BD33" s="186"/>
      <c r="BF33" s="72"/>
      <c r="BG33" s="72"/>
      <c r="BR33" s="72"/>
    </row>
    <row r="34" spans="1:70" s="555" customFormat="1" ht="18.75" customHeight="1" x14ac:dyDescent="0.25">
      <c r="A34" s="8"/>
      <c r="B34" s="587" t="s">
        <v>111</v>
      </c>
      <c r="C34" s="588"/>
      <c r="D34" s="570">
        <f t="shared" ref="D34:AX34" si="57">D35+D36</f>
        <v>310018.5</v>
      </c>
      <c r="E34" s="570">
        <f t="shared" si="57"/>
        <v>310018.5</v>
      </c>
      <c r="F34" s="570">
        <f t="shared" si="57"/>
        <v>24543.200000000001</v>
      </c>
      <c r="G34" s="570">
        <f t="shared" si="57"/>
        <v>24543.200000000001</v>
      </c>
      <c r="H34" s="570">
        <f t="shared" si="57"/>
        <v>24543</v>
      </c>
      <c r="I34" s="570">
        <f t="shared" si="57"/>
        <v>49086.400000000001</v>
      </c>
      <c r="J34" s="570">
        <f t="shared" si="57"/>
        <v>0</v>
      </c>
      <c r="K34" s="570">
        <f t="shared" si="57"/>
        <v>24543</v>
      </c>
      <c r="L34" s="570">
        <f t="shared" si="57"/>
        <v>20667.900000000001</v>
      </c>
      <c r="M34" s="570">
        <f t="shared" si="57"/>
        <v>20667.900000000001</v>
      </c>
      <c r="N34" s="570">
        <f t="shared" si="57"/>
        <v>20667.900000000001</v>
      </c>
      <c r="O34" s="570">
        <f t="shared" si="57"/>
        <v>23251.4</v>
      </c>
      <c r="P34" s="570">
        <f t="shared" si="57"/>
        <v>23251.4</v>
      </c>
      <c r="Q34" s="570">
        <f t="shared" si="57"/>
        <v>23251.3</v>
      </c>
      <c r="R34" s="570">
        <f t="shared" si="57"/>
        <v>279016.59999999998</v>
      </c>
      <c r="S34" s="570">
        <f t="shared" si="57"/>
        <v>24543.200000000001</v>
      </c>
      <c r="T34" s="570">
        <f t="shared" si="57"/>
        <v>291651.5</v>
      </c>
      <c r="U34" s="570">
        <f t="shared" si="57"/>
        <v>291651.5</v>
      </c>
      <c r="V34" s="570">
        <f t="shared" si="57"/>
        <v>0</v>
      </c>
      <c r="W34" s="570">
        <f>W35+W36</f>
        <v>23089</v>
      </c>
      <c r="X34" s="570">
        <f t="shared" si="57"/>
        <v>23089</v>
      </c>
      <c r="Y34" s="570">
        <f t="shared" si="57"/>
        <v>0</v>
      </c>
      <c r="Z34" s="570">
        <f t="shared" si="57"/>
        <v>0</v>
      </c>
      <c r="AA34" s="570">
        <f t="shared" si="57"/>
        <v>0</v>
      </c>
      <c r="AB34" s="570">
        <f t="shared" si="57"/>
        <v>0</v>
      </c>
      <c r="AC34" s="570">
        <f t="shared" si="57"/>
        <v>0</v>
      </c>
      <c r="AD34" s="570">
        <f t="shared" si="57"/>
        <v>0</v>
      </c>
      <c r="AE34" s="570">
        <f t="shared" si="57"/>
        <v>0</v>
      </c>
      <c r="AF34" s="570">
        <f t="shared" si="57"/>
        <v>0</v>
      </c>
      <c r="AG34" s="570">
        <f t="shared" si="57"/>
        <v>0</v>
      </c>
      <c r="AH34" s="570">
        <f t="shared" si="57"/>
        <v>0</v>
      </c>
      <c r="AI34" s="570">
        <f t="shared" si="57"/>
        <v>0</v>
      </c>
      <c r="AJ34" s="570">
        <f t="shared" si="57"/>
        <v>23089</v>
      </c>
      <c r="AK34" s="570">
        <f t="shared" si="57"/>
        <v>0</v>
      </c>
      <c r="AL34" s="570">
        <f t="shared" si="57"/>
        <v>0</v>
      </c>
      <c r="AM34" s="570">
        <f t="shared" si="57"/>
        <v>0</v>
      </c>
      <c r="AN34" s="570">
        <f t="shared" si="57"/>
        <v>0</v>
      </c>
      <c r="AO34" s="570">
        <f t="shared" si="57"/>
        <v>0</v>
      </c>
      <c r="AP34" s="570">
        <f t="shared" si="57"/>
        <v>0</v>
      </c>
      <c r="AQ34" s="570">
        <f t="shared" si="57"/>
        <v>0</v>
      </c>
      <c r="AR34" s="570">
        <f t="shared" si="57"/>
        <v>0</v>
      </c>
      <c r="AS34" s="570">
        <f t="shared" si="57"/>
        <v>0</v>
      </c>
      <c r="AT34" s="570">
        <f t="shared" si="57"/>
        <v>0</v>
      </c>
      <c r="AU34" s="570">
        <f t="shared" si="57"/>
        <v>0</v>
      </c>
      <c r="AV34" s="598">
        <f t="shared" si="57"/>
        <v>23089</v>
      </c>
      <c r="AW34" s="570">
        <f t="shared" si="57"/>
        <v>0</v>
      </c>
      <c r="AX34" s="570">
        <f t="shared" si="57"/>
        <v>0</v>
      </c>
      <c r="AY34" s="169"/>
      <c r="AZ34" s="106"/>
      <c r="BA34" s="187"/>
      <c r="BB34" s="187"/>
      <c r="BC34" s="187"/>
      <c r="BD34" s="187"/>
      <c r="BF34" s="72"/>
      <c r="BG34" s="72"/>
    </row>
    <row r="35" spans="1:70" s="555" customFormat="1" ht="30" outlineLevel="7" x14ac:dyDescent="0.25">
      <c r="A35" s="8" t="s">
        <v>31</v>
      </c>
      <c r="B35" s="9" t="s">
        <v>113</v>
      </c>
      <c r="C35" s="10"/>
      <c r="D35" s="335">
        <v>261984.8</v>
      </c>
      <c r="E35" s="335">
        <v>261984.8</v>
      </c>
      <c r="F35" s="176">
        <v>20740.5</v>
      </c>
      <c r="G35" s="176">
        <v>20740.5</v>
      </c>
      <c r="H35" s="176">
        <v>20740.400000000001</v>
      </c>
      <c r="I35" s="176">
        <f>20740.5*2</f>
        <v>41481</v>
      </c>
      <c r="J35" s="176"/>
      <c r="K35" s="176">
        <v>20740.400000000001</v>
      </c>
      <c r="L35" s="176">
        <v>17465.7</v>
      </c>
      <c r="M35" s="176">
        <v>17465.7</v>
      </c>
      <c r="N35" s="176">
        <v>17465.5</v>
      </c>
      <c r="O35" s="176">
        <v>19648.900000000001</v>
      </c>
      <c r="P35" s="176">
        <v>19648.900000000001</v>
      </c>
      <c r="Q35" s="176">
        <v>19648.8</v>
      </c>
      <c r="R35" s="586">
        <f>SUM(F35:Q35)</f>
        <v>235786.3</v>
      </c>
      <c r="S35" s="335">
        <f t="shared" si="1"/>
        <v>20740.5</v>
      </c>
      <c r="T35" s="337">
        <v>260156.79999999999</v>
      </c>
      <c r="U35" s="337">
        <f t="shared" si="2"/>
        <v>260156.79999999999</v>
      </c>
      <c r="V35" s="337"/>
      <c r="W35" s="337">
        <f>AV35</f>
        <v>20595.7</v>
      </c>
      <c r="X35" s="571">
        <v>20595.7</v>
      </c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571">
        <v>20595.7</v>
      </c>
      <c r="AK35" s="566"/>
      <c r="AL35" s="566"/>
      <c r="AM35" s="566"/>
      <c r="AN35" s="566"/>
      <c r="AO35" s="566"/>
      <c r="AP35" s="566"/>
      <c r="AQ35" s="566"/>
      <c r="AR35" s="566"/>
      <c r="AS35" s="566"/>
      <c r="AT35" s="566"/>
      <c r="AU35" s="566"/>
      <c r="AV35" s="602">
        <f t="shared" si="5"/>
        <v>20595.7</v>
      </c>
      <c r="AW35" s="337"/>
      <c r="AX35" s="337"/>
      <c r="AY35" s="170"/>
      <c r="AZ35" s="102"/>
      <c r="BA35" s="186"/>
      <c r="BB35" s="186"/>
      <c r="BC35" s="186"/>
      <c r="BD35" s="186"/>
      <c r="BF35" s="72"/>
      <c r="BH35" s="72"/>
    </row>
    <row r="36" spans="1:70" s="555" customFormat="1" ht="45" outlineLevel="7" x14ac:dyDescent="0.25">
      <c r="A36" s="8" t="s">
        <v>32</v>
      </c>
      <c r="B36" s="9" t="s">
        <v>114</v>
      </c>
      <c r="C36" s="10"/>
      <c r="D36" s="335">
        <v>48033.7</v>
      </c>
      <c r="E36" s="335">
        <v>48033.7</v>
      </c>
      <c r="F36" s="176">
        <v>3802.7</v>
      </c>
      <c r="G36" s="176">
        <v>3802.7</v>
      </c>
      <c r="H36" s="176">
        <v>3802.6</v>
      </c>
      <c r="I36" s="176">
        <f>3802.7+3802.7</f>
        <v>7605.4</v>
      </c>
      <c r="J36" s="176"/>
      <c r="K36" s="176">
        <v>3802.6</v>
      </c>
      <c r="L36" s="176">
        <v>3202.2</v>
      </c>
      <c r="M36" s="176">
        <v>3202.2</v>
      </c>
      <c r="N36" s="176">
        <v>3202.4</v>
      </c>
      <c r="O36" s="176">
        <v>3602.5</v>
      </c>
      <c r="P36" s="176">
        <v>3602.5</v>
      </c>
      <c r="Q36" s="176">
        <v>3602.5</v>
      </c>
      <c r="R36" s="586">
        <f>SUM(F36:Q36)</f>
        <v>43230.3</v>
      </c>
      <c r="S36" s="335">
        <f t="shared" si="1"/>
        <v>3802.7</v>
      </c>
      <c r="T36" s="337">
        <v>31494.7</v>
      </c>
      <c r="U36" s="337">
        <f t="shared" si="2"/>
        <v>31494.7</v>
      </c>
      <c r="V36" s="337"/>
      <c r="W36" s="337">
        <f>AV36</f>
        <v>2493.3000000000002</v>
      </c>
      <c r="X36" s="571">
        <v>2493.3000000000002</v>
      </c>
      <c r="Y36" s="335"/>
      <c r="Z36" s="335"/>
      <c r="AA36" s="335"/>
      <c r="AB36" s="335"/>
      <c r="AC36" s="335"/>
      <c r="AD36" s="335"/>
      <c r="AE36" s="335"/>
      <c r="AF36" s="335"/>
      <c r="AG36" s="335"/>
      <c r="AH36" s="335"/>
      <c r="AI36" s="335"/>
      <c r="AJ36" s="571">
        <v>2493.3000000000002</v>
      </c>
      <c r="AK36" s="566"/>
      <c r="AL36" s="566"/>
      <c r="AM36" s="566"/>
      <c r="AN36" s="566"/>
      <c r="AO36" s="566"/>
      <c r="AP36" s="566"/>
      <c r="AQ36" s="566"/>
      <c r="AR36" s="566"/>
      <c r="AS36" s="566"/>
      <c r="AT36" s="566"/>
      <c r="AU36" s="566"/>
      <c r="AV36" s="602">
        <f t="shared" si="5"/>
        <v>2493.3000000000002</v>
      </c>
      <c r="AW36" s="337"/>
      <c r="AX36" s="337"/>
      <c r="AY36" s="170"/>
      <c r="AZ36" s="102"/>
      <c r="BA36" s="186"/>
      <c r="BB36" s="186"/>
      <c r="BC36" s="186"/>
      <c r="BD36" s="186"/>
    </row>
    <row r="37" spans="1:70" s="555" customFormat="1" ht="23.25" outlineLevel="2" x14ac:dyDescent="0.25">
      <c r="A37" s="8" t="s">
        <v>33</v>
      </c>
      <c r="B37" s="587" t="s">
        <v>112</v>
      </c>
      <c r="C37" s="588"/>
      <c r="D37" s="570">
        <f>SUM(D41:D74)+D38</f>
        <v>43847</v>
      </c>
      <c r="E37" s="570">
        <f t="shared" ref="E37:R37" si="58">SUM(E41:E74)+E38+E39+E40</f>
        <v>132413.1</v>
      </c>
      <c r="F37" s="570">
        <f t="shared" si="58"/>
        <v>205.9</v>
      </c>
      <c r="G37" s="570">
        <f t="shared" si="58"/>
        <v>933.9</v>
      </c>
      <c r="H37" s="570">
        <f t="shared" si="58"/>
        <v>2780.7999999999997</v>
      </c>
      <c r="I37" s="570">
        <f t="shared" si="58"/>
        <v>8283.5</v>
      </c>
      <c r="J37" s="570">
        <f t="shared" si="58"/>
        <v>10927.900000000001</v>
      </c>
      <c r="K37" s="570">
        <f t="shared" si="58"/>
        <v>8873.8000000000011</v>
      </c>
      <c r="L37" s="570">
        <f t="shared" si="58"/>
        <v>13609.3</v>
      </c>
      <c r="M37" s="570">
        <f t="shared" si="58"/>
        <v>10270.700000000001</v>
      </c>
      <c r="N37" s="570">
        <f t="shared" si="58"/>
        <v>18748.3</v>
      </c>
      <c r="O37" s="570">
        <f t="shared" si="58"/>
        <v>21964.1</v>
      </c>
      <c r="P37" s="570">
        <f t="shared" si="58"/>
        <v>4121.1000000000004</v>
      </c>
      <c r="Q37" s="570">
        <f t="shared" si="58"/>
        <v>25519.1</v>
      </c>
      <c r="R37" s="570">
        <f t="shared" si="58"/>
        <v>126238.39999999999</v>
      </c>
      <c r="S37" s="570">
        <f t="shared" ref="S37" si="59">SUM(S41:S74)+S38+S39+S40</f>
        <v>205.9</v>
      </c>
      <c r="T37" s="570">
        <f t="shared" ref="T37" si="60">SUM(T41:T74)+T38+T39+T40</f>
        <v>38096.099999999991</v>
      </c>
      <c r="U37" s="570">
        <f t="shared" ref="U37" si="61">SUM(U41:U74)+U38+U39+U40</f>
        <v>35927.9</v>
      </c>
      <c r="V37" s="570">
        <f t="shared" ref="V37" si="62">SUM(V41:V74)+V38+V39+V40</f>
        <v>0</v>
      </c>
      <c r="W37" s="570">
        <f t="shared" ref="W37" si="63">SUM(W41:W74)+W38+W39+W40</f>
        <v>213</v>
      </c>
      <c r="X37" s="570">
        <f t="shared" ref="X37" si="64">SUM(X41:X74)+X38+X39+X40</f>
        <v>213</v>
      </c>
      <c r="Y37" s="570">
        <f t="shared" ref="Y37" si="65">SUM(Y41:Y74)+Y38+Y39+Y40</f>
        <v>0</v>
      </c>
      <c r="Z37" s="570">
        <f t="shared" ref="Z37" si="66">SUM(Z41:Z74)+Z38+Z39+Z40</f>
        <v>0</v>
      </c>
      <c r="AA37" s="570">
        <f t="shared" ref="AA37" si="67">SUM(AA41:AA74)+AA38+AA39+AA40</f>
        <v>0</v>
      </c>
      <c r="AB37" s="570">
        <f t="shared" ref="AB37" si="68">SUM(AB41:AB74)+AB38+AB39+AB40</f>
        <v>0</v>
      </c>
      <c r="AC37" s="570">
        <f t="shared" ref="AC37" si="69">SUM(AC41:AC74)+AC38+AC39+AC40</f>
        <v>0</v>
      </c>
      <c r="AD37" s="570">
        <f t="shared" ref="AD37" si="70">SUM(AD41:AD74)+AD38+AD39+AD40</f>
        <v>0</v>
      </c>
      <c r="AE37" s="570">
        <f t="shared" ref="AE37" si="71">SUM(AE41:AE74)+AE38+AE39+AE40</f>
        <v>0</v>
      </c>
      <c r="AF37" s="570">
        <f t="shared" ref="AF37" si="72">SUM(AF41:AF74)+AF38+AF39+AF40</f>
        <v>0</v>
      </c>
      <c r="AG37" s="570">
        <f t="shared" ref="AG37" si="73">SUM(AG41:AG74)+AG38+AG39+AG40</f>
        <v>0</v>
      </c>
      <c r="AH37" s="570">
        <f t="shared" ref="AH37" si="74">SUM(AH41:AH74)+AH38+AH39+AH40</f>
        <v>0</v>
      </c>
      <c r="AI37" s="570">
        <f t="shared" ref="AI37" si="75">SUM(AI41:AI74)+AI38+AI39+AI40</f>
        <v>0</v>
      </c>
      <c r="AJ37" s="570">
        <f t="shared" ref="AJ37" si="76">SUM(AJ41:AJ74)+AJ38+AJ39+AJ40</f>
        <v>213</v>
      </c>
      <c r="AK37" s="570">
        <f t="shared" ref="AK37" si="77">SUM(AK41:AK74)+AK38+AK39+AK40</f>
        <v>0</v>
      </c>
      <c r="AL37" s="570">
        <f t="shared" ref="AL37" si="78">SUM(AL41:AL74)+AL38+AL39+AL40</f>
        <v>0</v>
      </c>
      <c r="AM37" s="570">
        <f t="shared" ref="AM37" si="79">SUM(AM41:AM74)+AM38+AM39+AM40</f>
        <v>0</v>
      </c>
      <c r="AN37" s="570">
        <f t="shared" ref="AN37" si="80">SUM(AN41:AN74)+AN38+AN39+AN40</f>
        <v>0</v>
      </c>
      <c r="AO37" s="570">
        <f t="shared" ref="AO37" si="81">SUM(AO41:AO74)+AO38+AO39+AO40</f>
        <v>0</v>
      </c>
      <c r="AP37" s="570">
        <f t="shared" ref="AP37" si="82">SUM(AP41:AP74)+AP38+AP39+AP40</f>
        <v>0</v>
      </c>
      <c r="AQ37" s="570">
        <f t="shared" ref="AQ37" si="83">SUM(AQ41:AQ74)+AQ38+AQ39+AQ40</f>
        <v>0</v>
      </c>
      <c r="AR37" s="570">
        <f t="shared" ref="AR37" si="84">SUM(AR41:AR74)+AR38+AR39+AR40</f>
        <v>0</v>
      </c>
      <c r="AS37" s="570">
        <f t="shared" ref="AS37" si="85">SUM(AS41:AS74)+AS38+AS39+AS40</f>
        <v>0</v>
      </c>
      <c r="AT37" s="570">
        <f t="shared" ref="AT37" si="86">SUM(AT41:AT74)+AT38+AT39+AT40</f>
        <v>0</v>
      </c>
      <c r="AU37" s="570">
        <f t="shared" ref="AU37" si="87">SUM(AU41:AU74)+AU38+AU39+AU40</f>
        <v>0</v>
      </c>
      <c r="AV37" s="598">
        <f t="shared" ref="AV37" si="88">SUM(AV41:AV74)+AV38+AV39+AV40</f>
        <v>213</v>
      </c>
      <c r="AW37" s="570">
        <f t="shared" ref="AW37" si="89">SUM(AW41:AW74)+AW38+AW39+AW40</f>
        <v>0</v>
      </c>
      <c r="AX37" s="570">
        <f t="shared" ref="AX37" si="90">SUM(AX41:AX74)+AX38+AX39+AX40</f>
        <v>0</v>
      </c>
      <c r="AY37" s="169"/>
      <c r="AZ37" s="106"/>
      <c r="BA37" s="187"/>
      <c r="BB37" s="106"/>
      <c r="BC37" s="187"/>
      <c r="BD37" s="187"/>
      <c r="BF37" s="72"/>
    </row>
    <row r="38" spans="1:70" s="19" customFormat="1" ht="45" hidden="1" outlineLevel="2" x14ac:dyDescent="0.25">
      <c r="A38" s="18"/>
      <c r="B38" s="9" t="s">
        <v>250</v>
      </c>
      <c r="C38" s="20" t="s">
        <v>249</v>
      </c>
      <c r="D38" s="335">
        <v>0</v>
      </c>
      <c r="E38" s="170">
        <v>0</v>
      </c>
      <c r="F38" s="176"/>
      <c r="G38" s="174"/>
      <c r="H38" s="176"/>
      <c r="I38" s="176"/>
      <c r="J38" s="176"/>
      <c r="K38" s="176"/>
      <c r="L38" s="174"/>
      <c r="M38" s="176"/>
      <c r="N38" s="176"/>
      <c r="O38" s="176"/>
      <c r="P38" s="176"/>
      <c r="Q38" s="176"/>
      <c r="R38" s="586">
        <f t="shared" ref="R38:R74" si="91">SUM(F38:Q38)</f>
        <v>0</v>
      </c>
      <c r="S38" s="335">
        <f t="shared" si="1"/>
        <v>0</v>
      </c>
      <c r="T38" s="337"/>
      <c r="U38" s="337">
        <f t="shared" si="2"/>
        <v>0</v>
      </c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566"/>
      <c r="AK38" s="566"/>
      <c r="AL38" s="566"/>
      <c r="AM38" s="566"/>
      <c r="AN38" s="566"/>
      <c r="AO38" s="566"/>
      <c r="AP38" s="566"/>
      <c r="AQ38" s="566"/>
      <c r="AR38" s="566"/>
      <c r="AS38" s="566"/>
      <c r="AT38" s="566"/>
      <c r="AU38" s="566"/>
      <c r="AV38" s="602">
        <f t="shared" si="5"/>
        <v>0</v>
      </c>
      <c r="AW38" s="337"/>
      <c r="AX38" s="337"/>
      <c r="AY38" s="99"/>
      <c r="AZ38" s="102"/>
      <c r="BA38" s="186"/>
      <c r="BB38" s="186"/>
      <c r="BC38" s="186"/>
      <c r="BD38" s="186"/>
    </row>
    <row r="39" spans="1:70" s="19" customFormat="1" ht="60" hidden="1" outlineLevel="2" x14ac:dyDescent="0.25">
      <c r="A39" s="18"/>
      <c r="B39" s="9" t="s">
        <v>649</v>
      </c>
      <c r="C39" s="20" t="s">
        <v>93</v>
      </c>
      <c r="D39" s="335"/>
      <c r="E39" s="170">
        <v>444.8</v>
      </c>
      <c r="F39" s="176"/>
      <c r="G39" s="174"/>
      <c r="H39" s="176"/>
      <c r="I39" s="176"/>
      <c r="J39" s="176"/>
      <c r="K39" s="176"/>
      <c r="L39" s="174"/>
      <c r="M39" s="176"/>
      <c r="N39" s="176"/>
      <c r="O39" s="176"/>
      <c r="P39" s="176"/>
      <c r="Q39" s="176">
        <v>444.8</v>
      </c>
      <c r="R39" s="586">
        <f t="shared" si="91"/>
        <v>444.8</v>
      </c>
      <c r="S39" s="335">
        <f t="shared" si="1"/>
        <v>0</v>
      </c>
      <c r="T39" s="337"/>
      <c r="U39" s="337">
        <f t="shared" si="2"/>
        <v>0</v>
      </c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566"/>
      <c r="AK39" s="566"/>
      <c r="AL39" s="566"/>
      <c r="AM39" s="566"/>
      <c r="AN39" s="566"/>
      <c r="AO39" s="566"/>
      <c r="AP39" s="566"/>
      <c r="AQ39" s="566"/>
      <c r="AR39" s="566"/>
      <c r="AS39" s="566"/>
      <c r="AT39" s="566"/>
      <c r="AU39" s="566"/>
      <c r="AV39" s="602">
        <f t="shared" si="5"/>
        <v>0</v>
      </c>
      <c r="AW39" s="337"/>
      <c r="AX39" s="337"/>
      <c r="AY39" s="99"/>
      <c r="AZ39" s="102"/>
      <c r="BA39" s="186"/>
      <c r="BB39" s="186"/>
      <c r="BC39" s="186"/>
      <c r="BD39" s="186"/>
    </row>
    <row r="40" spans="1:70" s="19" customFormat="1" ht="60" hidden="1" outlineLevel="2" x14ac:dyDescent="0.25">
      <c r="A40" s="18"/>
      <c r="B40" s="9" t="s">
        <v>650</v>
      </c>
      <c r="C40" s="20" t="s">
        <v>201</v>
      </c>
      <c r="D40" s="335"/>
      <c r="E40" s="170">
        <v>148.19999999999999</v>
      </c>
      <c r="F40" s="176"/>
      <c r="G40" s="174"/>
      <c r="H40" s="176"/>
      <c r="I40" s="176"/>
      <c r="J40" s="176"/>
      <c r="K40" s="176"/>
      <c r="L40" s="174"/>
      <c r="M40" s="176"/>
      <c r="N40" s="176"/>
      <c r="O40" s="176"/>
      <c r="P40" s="176"/>
      <c r="Q40" s="176">
        <v>148.19999999999999</v>
      </c>
      <c r="R40" s="586">
        <f t="shared" si="91"/>
        <v>148.19999999999999</v>
      </c>
      <c r="S40" s="335">
        <f t="shared" si="1"/>
        <v>0</v>
      </c>
      <c r="T40" s="337"/>
      <c r="U40" s="337">
        <f t="shared" si="2"/>
        <v>0</v>
      </c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566"/>
      <c r="AK40" s="566"/>
      <c r="AL40" s="566"/>
      <c r="AM40" s="566"/>
      <c r="AN40" s="566"/>
      <c r="AO40" s="566"/>
      <c r="AP40" s="566"/>
      <c r="AQ40" s="566"/>
      <c r="AR40" s="566"/>
      <c r="AS40" s="566"/>
      <c r="AT40" s="566"/>
      <c r="AU40" s="566"/>
      <c r="AV40" s="602">
        <f t="shared" si="5"/>
        <v>0</v>
      </c>
      <c r="AW40" s="337"/>
      <c r="AX40" s="337"/>
      <c r="AY40" s="99"/>
      <c r="AZ40" s="102"/>
      <c r="BA40" s="186"/>
      <c r="BB40" s="186"/>
      <c r="BC40" s="186"/>
      <c r="BD40" s="186"/>
    </row>
    <row r="41" spans="1:70" s="19" customFormat="1" ht="34.5" hidden="1" customHeight="1" outlineLevel="2" x14ac:dyDescent="0.25">
      <c r="A41" s="18"/>
      <c r="B41" s="9" t="s">
        <v>287</v>
      </c>
      <c r="C41" s="20" t="s">
        <v>272</v>
      </c>
      <c r="D41" s="335">
        <v>0</v>
      </c>
      <c r="E41" s="170">
        <v>11030.2</v>
      </c>
      <c r="F41" s="176"/>
      <c r="G41" s="174"/>
      <c r="H41" s="176"/>
      <c r="I41" s="176"/>
      <c r="J41" s="176"/>
      <c r="K41" s="176"/>
      <c r="L41" s="174"/>
      <c r="M41" s="176"/>
      <c r="N41" s="176">
        <v>7851.4</v>
      </c>
      <c r="O41" s="176">
        <v>2675.2</v>
      </c>
      <c r="P41" s="176"/>
      <c r="Q41" s="176">
        <v>503.2</v>
      </c>
      <c r="R41" s="586">
        <f t="shared" si="91"/>
        <v>11029.8</v>
      </c>
      <c r="S41" s="335">
        <f t="shared" si="1"/>
        <v>0</v>
      </c>
      <c r="T41" s="337"/>
      <c r="U41" s="337">
        <f t="shared" si="2"/>
        <v>0</v>
      </c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566"/>
      <c r="AK41" s="566"/>
      <c r="AL41" s="566"/>
      <c r="AM41" s="566"/>
      <c r="AN41" s="566"/>
      <c r="AO41" s="566"/>
      <c r="AP41" s="566"/>
      <c r="AQ41" s="566"/>
      <c r="AR41" s="566"/>
      <c r="AS41" s="566"/>
      <c r="AT41" s="566"/>
      <c r="AU41" s="566"/>
      <c r="AV41" s="602">
        <f t="shared" si="5"/>
        <v>0</v>
      </c>
      <c r="AW41" s="337"/>
      <c r="AX41" s="337"/>
      <c r="AY41" s="99"/>
      <c r="AZ41" s="102"/>
      <c r="BA41" s="186"/>
      <c r="BB41" s="186"/>
      <c r="BC41" s="186"/>
      <c r="BD41" s="186"/>
    </row>
    <row r="42" spans="1:70" s="19" customFormat="1" ht="75" hidden="1" customHeight="1" outlineLevel="2" x14ac:dyDescent="0.25">
      <c r="A42" s="18"/>
      <c r="B42" s="21" t="s">
        <v>445</v>
      </c>
      <c r="C42" s="20" t="s">
        <v>137</v>
      </c>
      <c r="D42" s="335">
        <v>0</v>
      </c>
      <c r="E42" s="170">
        <v>2166.1999999999998</v>
      </c>
      <c r="F42" s="176"/>
      <c r="G42" s="174"/>
      <c r="H42" s="176"/>
      <c r="I42" s="176"/>
      <c r="J42" s="176"/>
      <c r="K42" s="176"/>
      <c r="L42" s="174"/>
      <c r="M42" s="176"/>
      <c r="N42" s="176">
        <v>991.5</v>
      </c>
      <c r="O42" s="176">
        <v>1174.7</v>
      </c>
      <c r="P42" s="176"/>
      <c r="Q42" s="176"/>
      <c r="R42" s="586">
        <f t="shared" si="91"/>
        <v>2166.1999999999998</v>
      </c>
      <c r="S42" s="335">
        <f t="shared" si="1"/>
        <v>0</v>
      </c>
      <c r="T42" s="337"/>
      <c r="U42" s="337">
        <f t="shared" si="2"/>
        <v>0</v>
      </c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566"/>
      <c r="AK42" s="566"/>
      <c r="AL42" s="566"/>
      <c r="AM42" s="566"/>
      <c r="AN42" s="566"/>
      <c r="AO42" s="566"/>
      <c r="AP42" s="566"/>
      <c r="AQ42" s="566"/>
      <c r="AR42" s="566"/>
      <c r="AS42" s="566"/>
      <c r="AT42" s="566"/>
      <c r="AU42" s="566"/>
      <c r="AV42" s="602">
        <f t="shared" si="5"/>
        <v>0</v>
      </c>
      <c r="AW42" s="337"/>
      <c r="AX42" s="337"/>
      <c r="AY42" s="99"/>
      <c r="AZ42" s="102"/>
      <c r="BA42" s="186"/>
      <c r="BB42" s="186"/>
      <c r="BC42" s="186"/>
      <c r="BD42" s="186"/>
    </row>
    <row r="43" spans="1:70" s="19" customFormat="1" ht="62.25" hidden="1" customHeight="1" outlineLevel="2" x14ac:dyDescent="0.25">
      <c r="A43" s="18"/>
      <c r="B43" s="21" t="s">
        <v>280</v>
      </c>
      <c r="C43" s="20" t="s">
        <v>34</v>
      </c>
      <c r="D43" s="335">
        <v>1496.7</v>
      </c>
      <c r="E43" s="170">
        <v>2566.5</v>
      </c>
      <c r="F43" s="176"/>
      <c r="G43" s="174"/>
      <c r="H43" s="176"/>
      <c r="I43" s="176"/>
      <c r="J43" s="176">
        <v>3072.5</v>
      </c>
      <c r="K43" s="176">
        <v>1551.9</v>
      </c>
      <c r="L43" s="174"/>
      <c r="M43" s="176"/>
      <c r="N43" s="176">
        <f>-2057.8+1174.7</f>
        <v>-883.10000000000014</v>
      </c>
      <c r="O43" s="176">
        <v>-1174.8</v>
      </c>
      <c r="P43" s="176"/>
      <c r="Q43" s="176"/>
      <c r="R43" s="586">
        <f t="shared" si="91"/>
        <v>2566.4999999999991</v>
      </c>
      <c r="S43" s="335">
        <f t="shared" si="1"/>
        <v>0</v>
      </c>
      <c r="T43" s="337"/>
      <c r="U43" s="337">
        <f t="shared" si="2"/>
        <v>0</v>
      </c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566"/>
      <c r="AK43" s="566"/>
      <c r="AL43" s="566"/>
      <c r="AM43" s="566"/>
      <c r="AN43" s="566"/>
      <c r="AO43" s="566"/>
      <c r="AP43" s="566"/>
      <c r="AQ43" s="566"/>
      <c r="AR43" s="566"/>
      <c r="AS43" s="566"/>
      <c r="AT43" s="566"/>
      <c r="AU43" s="566"/>
      <c r="AV43" s="602">
        <f t="shared" si="5"/>
        <v>0</v>
      </c>
      <c r="AW43" s="337"/>
      <c r="AX43" s="337"/>
      <c r="AY43" s="99"/>
      <c r="AZ43" s="102"/>
      <c r="BA43" s="186"/>
      <c r="BB43" s="186"/>
      <c r="BC43" s="186"/>
      <c r="BD43" s="186"/>
    </row>
    <row r="44" spans="1:70" s="19" customFormat="1" ht="59.25" hidden="1" customHeight="1" outlineLevel="2" x14ac:dyDescent="0.25">
      <c r="A44" s="18"/>
      <c r="B44" s="9" t="s">
        <v>579</v>
      </c>
      <c r="C44" s="20" t="s">
        <v>580</v>
      </c>
      <c r="D44" s="335"/>
      <c r="E44" s="170">
        <v>3504</v>
      </c>
      <c r="F44" s="176"/>
      <c r="G44" s="174"/>
      <c r="H44" s="176"/>
      <c r="I44" s="176"/>
      <c r="J44" s="176"/>
      <c r="K44" s="176"/>
      <c r="L44" s="174"/>
      <c r="M44" s="176"/>
      <c r="N44" s="176"/>
      <c r="O44" s="176">
        <v>3222.9</v>
      </c>
      <c r="P44" s="176"/>
      <c r="Q44" s="176"/>
      <c r="R44" s="586">
        <f t="shared" si="91"/>
        <v>3222.9</v>
      </c>
      <c r="S44" s="335">
        <f t="shared" si="1"/>
        <v>0</v>
      </c>
      <c r="T44" s="337"/>
      <c r="U44" s="337">
        <f t="shared" si="2"/>
        <v>0</v>
      </c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566"/>
      <c r="AK44" s="566"/>
      <c r="AL44" s="566"/>
      <c r="AM44" s="566"/>
      <c r="AN44" s="566"/>
      <c r="AO44" s="566"/>
      <c r="AP44" s="566"/>
      <c r="AQ44" s="566"/>
      <c r="AR44" s="566"/>
      <c r="AS44" s="566"/>
      <c r="AT44" s="566"/>
      <c r="AU44" s="566"/>
      <c r="AV44" s="602">
        <f t="shared" si="5"/>
        <v>0</v>
      </c>
      <c r="AW44" s="337"/>
      <c r="AX44" s="337"/>
      <c r="AY44" s="99"/>
      <c r="AZ44" s="102"/>
      <c r="BA44" s="186"/>
      <c r="BB44" s="186"/>
      <c r="BC44" s="186"/>
      <c r="BD44" s="186"/>
    </row>
    <row r="45" spans="1:70" s="19" customFormat="1" ht="35.25" hidden="1" customHeight="1" outlineLevel="2" x14ac:dyDescent="0.25">
      <c r="A45" s="18"/>
      <c r="B45" s="9" t="s">
        <v>575</v>
      </c>
      <c r="C45" s="20" t="s">
        <v>465</v>
      </c>
      <c r="D45" s="335">
        <v>0</v>
      </c>
      <c r="E45" s="170">
        <v>867</v>
      </c>
      <c r="F45" s="176"/>
      <c r="G45" s="174"/>
      <c r="H45" s="176"/>
      <c r="I45" s="176"/>
      <c r="J45" s="176"/>
      <c r="K45" s="176"/>
      <c r="L45" s="174"/>
      <c r="M45" s="176"/>
      <c r="N45" s="176"/>
      <c r="O45" s="176">
        <v>231</v>
      </c>
      <c r="P45" s="176">
        <v>144.9</v>
      </c>
      <c r="Q45" s="176">
        <v>237.5</v>
      </c>
      <c r="R45" s="586">
        <f t="shared" si="91"/>
        <v>613.4</v>
      </c>
      <c r="S45" s="335">
        <f t="shared" si="1"/>
        <v>0</v>
      </c>
      <c r="T45" s="337"/>
      <c r="U45" s="337">
        <f t="shared" si="2"/>
        <v>0</v>
      </c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566"/>
      <c r="AK45" s="566"/>
      <c r="AL45" s="566"/>
      <c r="AM45" s="566"/>
      <c r="AN45" s="566"/>
      <c r="AO45" s="566"/>
      <c r="AP45" s="566"/>
      <c r="AQ45" s="566"/>
      <c r="AR45" s="566"/>
      <c r="AS45" s="566"/>
      <c r="AT45" s="566"/>
      <c r="AU45" s="566"/>
      <c r="AV45" s="602">
        <f t="shared" si="5"/>
        <v>0</v>
      </c>
      <c r="AW45" s="337"/>
      <c r="AX45" s="337"/>
      <c r="AY45" s="99"/>
      <c r="AZ45" s="102"/>
      <c r="BA45" s="186"/>
      <c r="BB45" s="186"/>
      <c r="BC45" s="186"/>
      <c r="BD45" s="186"/>
    </row>
    <row r="46" spans="1:70" s="555" customFormat="1" ht="45" outlineLevel="7" x14ac:dyDescent="0.25">
      <c r="A46" s="8" t="s">
        <v>117</v>
      </c>
      <c r="B46" s="9" t="s">
        <v>139</v>
      </c>
      <c r="C46" s="10" t="s">
        <v>118</v>
      </c>
      <c r="D46" s="335">
        <v>0</v>
      </c>
      <c r="E46" s="335">
        <v>5505.8</v>
      </c>
      <c r="F46" s="176"/>
      <c r="G46" s="176">
        <v>546</v>
      </c>
      <c r="H46" s="176">
        <v>546</v>
      </c>
      <c r="I46" s="176">
        <v>1238.0999999999999</v>
      </c>
      <c r="J46" s="176">
        <v>486</v>
      </c>
      <c r="K46" s="176"/>
      <c r="L46" s="174"/>
      <c r="M46" s="176">
        <v>195</v>
      </c>
      <c r="N46" s="176">
        <v>525</v>
      </c>
      <c r="O46" s="176">
        <v>585</v>
      </c>
      <c r="P46" s="176">
        <v>713.1</v>
      </c>
      <c r="Q46" s="176">
        <v>671.6</v>
      </c>
      <c r="R46" s="586">
        <f t="shared" si="91"/>
        <v>5505.8000000000011</v>
      </c>
      <c r="S46" s="335">
        <f t="shared" si="1"/>
        <v>0</v>
      </c>
      <c r="T46" s="337">
        <v>5676.3</v>
      </c>
      <c r="U46" s="337">
        <f t="shared" si="2"/>
        <v>5676.3</v>
      </c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566"/>
      <c r="AK46" s="566"/>
      <c r="AL46" s="566"/>
      <c r="AM46" s="566"/>
      <c r="AN46" s="566"/>
      <c r="AO46" s="566"/>
      <c r="AP46" s="566"/>
      <c r="AQ46" s="566"/>
      <c r="AR46" s="566"/>
      <c r="AS46" s="566"/>
      <c r="AT46" s="566"/>
      <c r="AU46" s="566"/>
      <c r="AV46" s="602">
        <f t="shared" si="5"/>
        <v>0</v>
      </c>
      <c r="AW46" s="337"/>
      <c r="AX46" s="337"/>
      <c r="AY46" s="99"/>
      <c r="AZ46" s="102"/>
      <c r="BA46" s="186"/>
      <c r="BB46" s="186"/>
      <c r="BC46" s="186"/>
      <c r="BD46" s="186"/>
    </row>
    <row r="47" spans="1:70" s="555" customFormat="1" ht="45" outlineLevel="7" x14ac:dyDescent="0.25">
      <c r="A47" s="8" t="s">
        <v>36</v>
      </c>
      <c r="B47" s="9" t="s">
        <v>115</v>
      </c>
      <c r="C47" s="10" t="s">
        <v>37</v>
      </c>
      <c r="D47" s="335">
        <v>1908.8</v>
      </c>
      <c r="E47" s="99">
        <v>1835.2</v>
      </c>
      <c r="F47" s="176"/>
      <c r="G47" s="176">
        <v>182</v>
      </c>
      <c r="H47" s="176">
        <v>182</v>
      </c>
      <c r="I47" s="176">
        <v>412.7</v>
      </c>
      <c r="J47" s="176">
        <v>162</v>
      </c>
      <c r="K47" s="176"/>
      <c r="L47" s="174"/>
      <c r="M47" s="176">
        <v>65</v>
      </c>
      <c r="N47" s="176">
        <v>175</v>
      </c>
      <c r="O47" s="176">
        <v>195</v>
      </c>
      <c r="P47" s="176">
        <v>237.7</v>
      </c>
      <c r="Q47" s="176">
        <v>223.9</v>
      </c>
      <c r="R47" s="586">
        <f t="shared" si="91"/>
        <v>1835.3000000000002</v>
      </c>
      <c r="S47" s="335">
        <f t="shared" si="1"/>
        <v>0</v>
      </c>
      <c r="T47" s="337">
        <v>2099.5</v>
      </c>
      <c r="U47" s="337">
        <v>2099.5</v>
      </c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566"/>
      <c r="AK47" s="566"/>
      <c r="AL47" s="566"/>
      <c r="AM47" s="566"/>
      <c r="AN47" s="566"/>
      <c r="AO47" s="566"/>
      <c r="AP47" s="566"/>
      <c r="AQ47" s="566"/>
      <c r="AR47" s="566"/>
      <c r="AS47" s="566"/>
      <c r="AT47" s="566"/>
      <c r="AU47" s="566"/>
      <c r="AV47" s="602">
        <f t="shared" si="5"/>
        <v>0</v>
      </c>
      <c r="AW47" s="337"/>
      <c r="AX47" s="337"/>
      <c r="AY47" s="99"/>
      <c r="AZ47" s="102"/>
      <c r="BA47" s="186"/>
      <c r="BB47" s="186"/>
      <c r="BC47" s="186"/>
      <c r="BD47" s="186"/>
    </row>
    <row r="48" spans="1:70" s="555" customFormat="1" ht="70.5" hidden="1" customHeight="1" outlineLevel="7" x14ac:dyDescent="0.25">
      <c r="A48" s="8" t="s">
        <v>39</v>
      </c>
      <c r="B48" s="9" t="s">
        <v>119</v>
      </c>
      <c r="C48" s="10" t="s">
        <v>328</v>
      </c>
      <c r="D48" s="335">
        <v>0</v>
      </c>
      <c r="E48" s="170">
        <v>0</v>
      </c>
      <c r="F48" s="176"/>
      <c r="G48" s="174"/>
      <c r="H48" s="176"/>
      <c r="I48" s="176"/>
      <c r="J48" s="176"/>
      <c r="K48" s="176"/>
      <c r="L48" s="174"/>
      <c r="M48" s="176"/>
      <c r="N48" s="176"/>
      <c r="O48" s="176"/>
      <c r="P48" s="176"/>
      <c r="Q48" s="176"/>
      <c r="R48" s="586">
        <f t="shared" si="91"/>
        <v>0</v>
      </c>
      <c r="S48" s="335">
        <f t="shared" si="1"/>
        <v>0</v>
      </c>
      <c r="T48" s="337"/>
      <c r="U48" s="337">
        <f t="shared" si="2"/>
        <v>0</v>
      </c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566"/>
      <c r="AK48" s="566"/>
      <c r="AL48" s="566"/>
      <c r="AM48" s="566"/>
      <c r="AN48" s="566"/>
      <c r="AO48" s="566"/>
      <c r="AP48" s="566"/>
      <c r="AQ48" s="566"/>
      <c r="AR48" s="566"/>
      <c r="AS48" s="566"/>
      <c r="AT48" s="566"/>
      <c r="AU48" s="566"/>
      <c r="AV48" s="602">
        <f t="shared" si="5"/>
        <v>0</v>
      </c>
      <c r="AW48" s="337"/>
      <c r="AX48" s="337"/>
      <c r="AY48" s="99"/>
      <c r="AZ48" s="102"/>
      <c r="BA48" s="186"/>
      <c r="BB48" s="186"/>
      <c r="BC48" s="186"/>
      <c r="BD48" s="186"/>
    </row>
    <row r="49" spans="1:56" s="555" customFormat="1" ht="67.5" hidden="1" customHeight="1" outlineLevel="7" x14ac:dyDescent="0.25">
      <c r="A49" s="8" t="s">
        <v>40</v>
      </c>
      <c r="B49" s="9" t="s">
        <v>120</v>
      </c>
      <c r="C49" s="10" t="s">
        <v>41</v>
      </c>
      <c r="D49" s="335">
        <v>285</v>
      </c>
      <c r="E49" s="170">
        <v>0</v>
      </c>
      <c r="F49" s="176"/>
      <c r="G49" s="174"/>
      <c r="H49" s="176"/>
      <c r="I49" s="176"/>
      <c r="J49" s="176"/>
      <c r="K49" s="176"/>
      <c r="L49" s="174"/>
      <c r="M49" s="176"/>
      <c r="N49" s="176"/>
      <c r="O49" s="176"/>
      <c r="P49" s="176"/>
      <c r="Q49" s="176"/>
      <c r="R49" s="586">
        <f t="shared" si="91"/>
        <v>0</v>
      </c>
      <c r="S49" s="335">
        <f t="shared" si="1"/>
        <v>0</v>
      </c>
      <c r="T49" s="337"/>
      <c r="U49" s="337">
        <f t="shared" si="2"/>
        <v>0</v>
      </c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566"/>
      <c r="AK49" s="566"/>
      <c r="AL49" s="566"/>
      <c r="AM49" s="566"/>
      <c r="AN49" s="566"/>
      <c r="AO49" s="566"/>
      <c r="AP49" s="566"/>
      <c r="AQ49" s="566"/>
      <c r="AR49" s="566"/>
      <c r="AS49" s="566"/>
      <c r="AT49" s="566"/>
      <c r="AU49" s="566"/>
      <c r="AV49" s="602">
        <f t="shared" si="5"/>
        <v>0</v>
      </c>
      <c r="AW49" s="337"/>
      <c r="AX49" s="337"/>
      <c r="AY49" s="99"/>
      <c r="AZ49" s="102"/>
      <c r="BA49" s="186"/>
      <c r="BB49" s="186"/>
      <c r="BC49" s="186"/>
      <c r="BD49" s="186"/>
    </row>
    <row r="50" spans="1:56" s="555" customFormat="1" ht="76.5" customHeight="1" outlineLevel="7" x14ac:dyDescent="0.25">
      <c r="A50" s="8" t="s">
        <v>42</v>
      </c>
      <c r="B50" s="9" t="s">
        <v>44</v>
      </c>
      <c r="C50" s="10" t="s">
        <v>43</v>
      </c>
      <c r="D50" s="335">
        <v>0</v>
      </c>
      <c r="E50" s="170">
        <v>0</v>
      </c>
      <c r="F50" s="176"/>
      <c r="G50" s="174"/>
      <c r="H50" s="176"/>
      <c r="I50" s="176"/>
      <c r="J50" s="176"/>
      <c r="K50" s="176"/>
      <c r="L50" s="174"/>
      <c r="M50" s="176"/>
      <c r="N50" s="176"/>
      <c r="O50" s="176"/>
      <c r="P50" s="176"/>
      <c r="Q50" s="176"/>
      <c r="R50" s="586">
        <f t="shared" si="91"/>
        <v>0</v>
      </c>
      <c r="S50" s="335">
        <f t="shared" si="1"/>
        <v>0</v>
      </c>
      <c r="T50" s="337">
        <v>7.1</v>
      </c>
      <c r="U50" s="337">
        <v>0</v>
      </c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566"/>
      <c r="AK50" s="566"/>
      <c r="AL50" s="566"/>
      <c r="AM50" s="566"/>
      <c r="AN50" s="566"/>
      <c r="AO50" s="566"/>
      <c r="AP50" s="566"/>
      <c r="AQ50" s="566"/>
      <c r="AR50" s="566"/>
      <c r="AS50" s="566"/>
      <c r="AT50" s="566"/>
      <c r="AU50" s="566"/>
      <c r="AV50" s="602">
        <f t="shared" si="5"/>
        <v>0</v>
      </c>
      <c r="AW50" s="337"/>
      <c r="AX50" s="337"/>
      <c r="AY50" s="99"/>
      <c r="AZ50" s="102"/>
      <c r="BA50" s="186"/>
      <c r="BB50" s="186"/>
      <c r="BC50" s="186"/>
      <c r="BD50" s="186"/>
    </row>
    <row r="51" spans="1:56" s="555" customFormat="1" ht="89.25" customHeight="1" outlineLevel="7" x14ac:dyDescent="0.25">
      <c r="A51" s="8" t="s">
        <v>45</v>
      </c>
      <c r="B51" s="9" t="s">
        <v>121</v>
      </c>
      <c r="C51" s="10" t="s">
        <v>46</v>
      </c>
      <c r="D51" s="335">
        <v>306.2</v>
      </c>
      <c r="E51" s="170">
        <v>0</v>
      </c>
      <c r="F51" s="176"/>
      <c r="G51" s="174"/>
      <c r="H51" s="176"/>
      <c r="I51" s="176"/>
      <c r="J51" s="176"/>
      <c r="K51" s="176"/>
      <c r="L51" s="174"/>
      <c r="M51" s="176"/>
      <c r="N51" s="176"/>
      <c r="O51" s="176"/>
      <c r="P51" s="176"/>
      <c r="Q51" s="176"/>
      <c r="R51" s="586">
        <f t="shared" si="91"/>
        <v>0</v>
      </c>
      <c r="S51" s="335">
        <f t="shared" si="1"/>
        <v>0</v>
      </c>
      <c r="T51" s="337">
        <v>3.6</v>
      </c>
      <c r="U51" s="337">
        <v>0</v>
      </c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566"/>
      <c r="AK51" s="566"/>
      <c r="AL51" s="566"/>
      <c r="AM51" s="566"/>
      <c r="AN51" s="566"/>
      <c r="AO51" s="566"/>
      <c r="AP51" s="566"/>
      <c r="AQ51" s="566"/>
      <c r="AR51" s="566"/>
      <c r="AS51" s="566"/>
      <c r="AT51" s="566"/>
      <c r="AU51" s="566"/>
      <c r="AV51" s="602">
        <f t="shared" si="5"/>
        <v>0</v>
      </c>
      <c r="AW51" s="337"/>
      <c r="AX51" s="337"/>
      <c r="AY51" s="99"/>
      <c r="AZ51" s="102"/>
      <c r="BA51" s="186"/>
      <c r="BB51" s="186"/>
      <c r="BC51" s="186"/>
      <c r="BD51" s="186"/>
    </row>
    <row r="52" spans="1:56" s="555" customFormat="1" ht="46.5" customHeight="1" outlineLevel="7" x14ac:dyDescent="0.25">
      <c r="A52" s="8"/>
      <c r="B52" s="9" t="s">
        <v>226</v>
      </c>
      <c r="C52" s="10" t="s">
        <v>253</v>
      </c>
      <c r="D52" s="335">
        <v>0</v>
      </c>
      <c r="E52" s="170">
        <v>31.6</v>
      </c>
      <c r="F52" s="176"/>
      <c r="G52" s="174"/>
      <c r="H52" s="176"/>
      <c r="I52" s="176">
        <v>31.6</v>
      </c>
      <c r="J52" s="176"/>
      <c r="K52" s="176"/>
      <c r="L52" s="174"/>
      <c r="M52" s="176"/>
      <c r="N52" s="176"/>
      <c r="O52" s="176"/>
      <c r="P52" s="176"/>
      <c r="Q52" s="176"/>
      <c r="R52" s="586">
        <f t="shared" si="91"/>
        <v>31.6</v>
      </c>
      <c r="S52" s="335">
        <f t="shared" si="1"/>
        <v>0</v>
      </c>
      <c r="T52" s="337">
        <v>3393.3</v>
      </c>
      <c r="U52" s="337">
        <f t="shared" si="2"/>
        <v>3393.3</v>
      </c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566"/>
      <c r="AK52" s="566"/>
      <c r="AL52" s="566"/>
      <c r="AM52" s="566"/>
      <c r="AN52" s="566"/>
      <c r="AO52" s="566"/>
      <c r="AP52" s="566"/>
      <c r="AQ52" s="566"/>
      <c r="AR52" s="566"/>
      <c r="AS52" s="566"/>
      <c r="AT52" s="566"/>
      <c r="AU52" s="566"/>
      <c r="AV52" s="602">
        <f t="shared" si="5"/>
        <v>0</v>
      </c>
      <c r="AW52" s="337"/>
      <c r="AX52" s="337"/>
      <c r="AY52" s="99"/>
      <c r="AZ52" s="102"/>
      <c r="BA52" s="186"/>
      <c r="BB52" s="186"/>
      <c r="BC52" s="186"/>
      <c r="BD52" s="186"/>
    </row>
    <row r="53" spans="1:56" s="555" customFormat="1" ht="46.5" customHeight="1" outlineLevel="7" x14ac:dyDescent="0.25">
      <c r="A53" s="8"/>
      <c r="B53" s="9" t="s">
        <v>225</v>
      </c>
      <c r="C53" s="10" t="s">
        <v>52</v>
      </c>
      <c r="D53" s="335">
        <v>11</v>
      </c>
      <c r="E53" s="170">
        <v>10.5</v>
      </c>
      <c r="F53" s="176"/>
      <c r="G53" s="174"/>
      <c r="H53" s="176"/>
      <c r="I53" s="176">
        <v>10.5</v>
      </c>
      <c r="J53" s="176"/>
      <c r="K53" s="176"/>
      <c r="L53" s="174"/>
      <c r="M53" s="176"/>
      <c r="N53" s="176"/>
      <c r="O53" s="176"/>
      <c r="P53" s="176"/>
      <c r="Q53" s="176"/>
      <c r="R53" s="586">
        <f t="shared" si="91"/>
        <v>10.5</v>
      </c>
      <c r="S53" s="335">
        <f t="shared" si="1"/>
        <v>0</v>
      </c>
      <c r="T53" s="337">
        <v>225.8</v>
      </c>
      <c r="U53" s="337">
        <v>225.9</v>
      </c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566"/>
      <c r="AK53" s="566"/>
      <c r="AL53" s="566"/>
      <c r="AM53" s="566"/>
      <c r="AN53" s="566"/>
      <c r="AO53" s="566"/>
      <c r="AP53" s="566"/>
      <c r="AQ53" s="566"/>
      <c r="AR53" s="566"/>
      <c r="AS53" s="566"/>
      <c r="AT53" s="566"/>
      <c r="AU53" s="566"/>
      <c r="AV53" s="602">
        <f t="shared" si="5"/>
        <v>0</v>
      </c>
      <c r="AW53" s="337"/>
      <c r="AX53" s="337"/>
      <c r="AY53" s="99"/>
      <c r="AZ53" s="102"/>
      <c r="BA53" s="186"/>
      <c r="BB53" s="186"/>
      <c r="BC53" s="186"/>
      <c r="BD53" s="186"/>
    </row>
    <row r="54" spans="1:56" s="555" customFormat="1" ht="44.25" customHeight="1" outlineLevel="7" x14ac:dyDescent="0.25">
      <c r="A54" s="8" t="s">
        <v>47</v>
      </c>
      <c r="B54" s="9" t="s">
        <v>123</v>
      </c>
      <c r="C54" s="10" t="s">
        <v>254</v>
      </c>
      <c r="D54" s="417">
        <v>0</v>
      </c>
      <c r="E54" s="418">
        <v>5000</v>
      </c>
      <c r="F54" s="285"/>
      <c r="G54" s="174"/>
      <c r="H54" s="176"/>
      <c r="I54" s="176"/>
      <c r="J54" s="176"/>
      <c r="K54" s="176"/>
      <c r="L54" s="176">
        <v>1782.5</v>
      </c>
      <c r="M54" s="176"/>
      <c r="N54" s="176">
        <v>3217.5</v>
      </c>
      <c r="O54" s="176"/>
      <c r="P54" s="176"/>
      <c r="Q54" s="176"/>
      <c r="R54" s="586">
        <f t="shared" si="91"/>
        <v>5000</v>
      </c>
      <c r="S54" s="335">
        <f t="shared" si="1"/>
        <v>0</v>
      </c>
      <c r="T54" s="337">
        <v>5000</v>
      </c>
      <c r="U54" s="337">
        <f t="shared" si="2"/>
        <v>5000</v>
      </c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566"/>
      <c r="AK54" s="566"/>
      <c r="AL54" s="566"/>
      <c r="AM54" s="566"/>
      <c r="AN54" s="566"/>
      <c r="AO54" s="566"/>
      <c r="AP54" s="566"/>
      <c r="AQ54" s="566"/>
      <c r="AR54" s="566"/>
      <c r="AS54" s="566"/>
      <c r="AT54" s="566"/>
      <c r="AU54" s="566"/>
      <c r="AV54" s="602">
        <f t="shared" si="5"/>
        <v>0</v>
      </c>
      <c r="AW54" s="337"/>
      <c r="AX54" s="337"/>
      <c r="AY54" s="99"/>
      <c r="AZ54" s="102"/>
      <c r="BA54" s="186"/>
      <c r="BB54" s="186"/>
      <c r="BC54" s="186"/>
      <c r="BD54" s="186"/>
    </row>
    <row r="55" spans="1:56" s="555" customFormat="1" ht="45.75" outlineLevel="7" thickBot="1" x14ac:dyDescent="0.3">
      <c r="A55" s="8" t="s">
        <v>48</v>
      </c>
      <c r="B55" s="9" t="s">
        <v>122</v>
      </c>
      <c r="C55" s="10" t="s">
        <v>49</v>
      </c>
      <c r="D55" s="583">
        <v>0</v>
      </c>
      <c r="E55" s="426">
        <v>208.3</v>
      </c>
      <c r="F55" s="449"/>
      <c r="G55" s="235"/>
      <c r="H55" s="176"/>
      <c r="I55" s="176"/>
      <c r="J55" s="176"/>
      <c r="K55" s="176"/>
      <c r="L55" s="176">
        <v>74.3</v>
      </c>
      <c r="M55" s="261"/>
      <c r="N55" s="261">
        <v>134</v>
      </c>
      <c r="O55" s="261"/>
      <c r="P55" s="261"/>
      <c r="Q55" s="261"/>
      <c r="R55" s="586">
        <f t="shared" si="91"/>
        <v>208.3</v>
      </c>
      <c r="S55" s="335">
        <f t="shared" si="1"/>
        <v>0</v>
      </c>
      <c r="T55" s="337">
        <v>319.10000000000002</v>
      </c>
      <c r="U55" s="337">
        <f t="shared" si="2"/>
        <v>319.10000000000002</v>
      </c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37"/>
      <c r="AJ55" s="566"/>
      <c r="AK55" s="566"/>
      <c r="AL55" s="566"/>
      <c r="AM55" s="566"/>
      <c r="AN55" s="566"/>
      <c r="AO55" s="566"/>
      <c r="AP55" s="566"/>
      <c r="AQ55" s="566"/>
      <c r="AR55" s="566"/>
      <c r="AS55" s="566"/>
      <c r="AT55" s="566"/>
      <c r="AU55" s="566"/>
      <c r="AV55" s="602">
        <f t="shared" si="5"/>
        <v>0</v>
      </c>
      <c r="AW55" s="337"/>
      <c r="AX55" s="337"/>
      <c r="AY55" s="99"/>
      <c r="AZ55" s="102"/>
      <c r="BA55" s="186"/>
      <c r="BB55" s="186"/>
      <c r="BC55" s="186"/>
      <c r="BD55" s="186"/>
    </row>
    <row r="56" spans="1:56" s="555" customFormat="1" ht="48.75" customHeight="1" outlineLevel="7" x14ac:dyDescent="0.25">
      <c r="A56" s="8"/>
      <c r="B56" s="177" t="s">
        <v>140</v>
      </c>
      <c r="C56" s="247" t="s">
        <v>288</v>
      </c>
      <c r="D56" s="404">
        <v>0</v>
      </c>
      <c r="E56" s="405">
        <v>0</v>
      </c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586">
        <f t="shared" si="91"/>
        <v>0</v>
      </c>
      <c r="S56" s="335">
        <f t="shared" si="1"/>
        <v>0</v>
      </c>
      <c r="T56" s="337">
        <v>0</v>
      </c>
      <c r="U56" s="337">
        <v>2782.5</v>
      </c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566"/>
      <c r="AK56" s="566"/>
      <c r="AL56" s="566"/>
      <c r="AM56" s="566"/>
      <c r="AN56" s="566"/>
      <c r="AO56" s="566"/>
      <c r="AP56" s="566"/>
      <c r="AQ56" s="566"/>
      <c r="AR56" s="566"/>
      <c r="AS56" s="566"/>
      <c r="AT56" s="566"/>
      <c r="AU56" s="566"/>
      <c r="AV56" s="602">
        <f t="shared" si="5"/>
        <v>0</v>
      </c>
      <c r="AW56" s="337"/>
      <c r="AX56" s="337"/>
      <c r="AY56" s="99"/>
      <c r="AZ56" s="102"/>
      <c r="BA56" s="186"/>
      <c r="BB56" s="186"/>
      <c r="BC56" s="186"/>
      <c r="BD56" s="186"/>
    </row>
    <row r="57" spans="1:56" s="555" customFormat="1" ht="55.5" customHeight="1" outlineLevel="7" thickBot="1" x14ac:dyDescent="0.3">
      <c r="A57" s="8"/>
      <c r="B57" s="239" t="s">
        <v>675</v>
      </c>
      <c r="C57" s="282" t="s">
        <v>273</v>
      </c>
      <c r="D57" s="580">
        <v>0</v>
      </c>
      <c r="E57" s="581">
        <v>0</v>
      </c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590">
        <f t="shared" si="91"/>
        <v>0</v>
      </c>
      <c r="S57" s="580">
        <f t="shared" si="1"/>
        <v>0</v>
      </c>
      <c r="T57" s="582">
        <v>0</v>
      </c>
      <c r="U57" s="582">
        <f>4101.8+177.6</f>
        <v>4279.4000000000005</v>
      </c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566"/>
      <c r="AK57" s="566"/>
      <c r="AL57" s="566"/>
      <c r="AM57" s="566"/>
      <c r="AN57" s="566"/>
      <c r="AO57" s="566"/>
      <c r="AP57" s="566"/>
      <c r="AQ57" s="566"/>
      <c r="AR57" s="566"/>
      <c r="AS57" s="566"/>
      <c r="AT57" s="566"/>
      <c r="AU57" s="566"/>
      <c r="AV57" s="602">
        <f t="shared" si="5"/>
        <v>0</v>
      </c>
      <c r="AW57" s="337"/>
      <c r="AX57" s="337"/>
      <c r="AY57" s="99"/>
      <c r="AZ57" s="102"/>
      <c r="BA57" s="186"/>
      <c r="BB57" s="186"/>
      <c r="BC57" s="186"/>
      <c r="BD57" s="186"/>
    </row>
    <row r="58" spans="1:56" s="555" customFormat="1" ht="75" outlineLevel="7" x14ac:dyDescent="0.25">
      <c r="A58" s="8"/>
      <c r="B58" s="177" t="s">
        <v>446</v>
      </c>
      <c r="C58" s="247" t="s">
        <v>301</v>
      </c>
      <c r="D58" s="404">
        <v>1200</v>
      </c>
      <c r="E58" s="405">
        <v>400.1</v>
      </c>
      <c r="F58" s="253"/>
      <c r="G58" s="253"/>
      <c r="H58" s="253"/>
      <c r="I58" s="253"/>
      <c r="J58" s="253"/>
      <c r="K58" s="253"/>
      <c r="L58" s="253"/>
      <c r="M58" s="253"/>
      <c r="N58" s="253">
        <v>400.1</v>
      </c>
      <c r="O58" s="253"/>
      <c r="P58" s="253"/>
      <c r="Q58" s="253"/>
      <c r="R58" s="591">
        <f t="shared" si="91"/>
        <v>400.1</v>
      </c>
      <c r="S58" s="404">
        <f t="shared" si="1"/>
        <v>0</v>
      </c>
      <c r="T58" s="579"/>
      <c r="U58" s="579">
        <f t="shared" si="2"/>
        <v>0</v>
      </c>
      <c r="V58" s="337"/>
      <c r="W58" s="337"/>
      <c r="X58" s="337"/>
      <c r="Y58" s="337"/>
      <c r="Z58" s="337"/>
      <c r="AA58" s="337"/>
      <c r="AB58" s="337"/>
      <c r="AC58" s="337"/>
      <c r="AD58" s="337"/>
      <c r="AE58" s="337"/>
      <c r="AF58" s="337"/>
      <c r="AG58" s="337"/>
      <c r="AH58" s="337"/>
      <c r="AI58" s="337"/>
      <c r="AJ58" s="566"/>
      <c r="AK58" s="566"/>
      <c r="AL58" s="566"/>
      <c r="AM58" s="566"/>
      <c r="AN58" s="566"/>
      <c r="AO58" s="566"/>
      <c r="AP58" s="566"/>
      <c r="AQ58" s="566"/>
      <c r="AR58" s="566"/>
      <c r="AS58" s="566"/>
      <c r="AT58" s="566"/>
      <c r="AU58" s="566"/>
      <c r="AV58" s="602">
        <f t="shared" si="5"/>
        <v>0</v>
      </c>
      <c r="AW58" s="337"/>
      <c r="AX58" s="337"/>
      <c r="AY58" s="99"/>
      <c r="AZ58" s="102"/>
      <c r="BA58" s="186"/>
      <c r="BB58" s="186"/>
      <c r="BC58" s="186"/>
      <c r="BD58" s="186"/>
    </row>
    <row r="59" spans="1:56" s="555" customFormat="1" ht="30" outlineLevel="7" x14ac:dyDescent="0.25">
      <c r="A59" s="8" t="s">
        <v>50</v>
      </c>
      <c r="B59" s="180" t="s">
        <v>124</v>
      </c>
      <c r="C59" s="10" t="s">
        <v>51</v>
      </c>
      <c r="D59" s="335">
        <v>2600.6</v>
      </c>
      <c r="E59" s="170">
        <v>2600.6</v>
      </c>
      <c r="F59" s="176">
        <v>205.9</v>
      </c>
      <c r="G59" s="176">
        <v>205.9</v>
      </c>
      <c r="H59" s="176">
        <v>205.8</v>
      </c>
      <c r="I59" s="176">
        <v>205.9</v>
      </c>
      <c r="J59" s="176">
        <v>205.9</v>
      </c>
      <c r="K59" s="176">
        <v>205.9</v>
      </c>
      <c r="L59" s="176">
        <v>205.9</v>
      </c>
      <c r="M59" s="176">
        <v>205.9</v>
      </c>
      <c r="N59" s="176">
        <v>205.9</v>
      </c>
      <c r="O59" s="176">
        <v>205.8</v>
      </c>
      <c r="P59" s="176">
        <v>205.9</v>
      </c>
      <c r="Q59" s="176">
        <v>205.9</v>
      </c>
      <c r="R59" s="586">
        <f t="shared" si="91"/>
        <v>2470.6000000000008</v>
      </c>
      <c r="S59" s="335">
        <f t="shared" si="1"/>
        <v>205.9</v>
      </c>
      <c r="T59" s="337">
        <v>2555.6999999999998</v>
      </c>
      <c r="U59" s="337">
        <f t="shared" si="2"/>
        <v>2555.6999999999998</v>
      </c>
      <c r="V59" s="337"/>
      <c r="W59" s="335">
        <f>AV59</f>
        <v>213</v>
      </c>
      <c r="X59" s="335">
        <f>AJ59</f>
        <v>213</v>
      </c>
      <c r="Y59" s="335"/>
      <c r="Z59" s="335"/>
      <c r="AA59" s="335"/>
      <c r="AB59" s="335"/>
      <c r="AC59" s="335"/>
      <c r="AD59" s="335"/>
      <c r="AE59" s="335"/>
      <c r="AF59" s="335"/>
      <c r="AG59" s="335"/>
      <c r="AH59" s="335"/>
      <c r="AI59" s="335"/>
      <c r="AJ59" s="96">
        <v>213</v>
      </c>
      <c r="AK59" s="566"/>
      <c r="AL59" s="566"/>
      <c r="AM59" s="566"/>
      <c r="AN59" s="566"/>
      <c r="AO59" s="566"/>
      <c r="AP59" s="566"/>
      <c r="AQ59" s="566"/>
      <c r="AR59" s="566"/>
      <c r="AS59" s="566"/>
      <c r="AT59" s="566"/>
      <c r="AU59" s="566"/>
      <c r="AV59" s="602">
        <f t="shared" si="5"/>
        <v>213</v>
      </c>
      <c r="AW59" s="337"/>
      <c r="AX59" s="337"/>
      <c r="AY59" s="99"/>
      <c r="AZ59" s="102"/>
      <c r="BA59" s="186"/>
      <c r="BB59" s="186"/>
      <c r="BC59" s="186"/>
      <c r="BD59" s="186"/>
    </row>
    <row r="60" spans="1:56" s="19" customFormat="1" ht="83.25" customHeight="1" outlineLevel="2" x14ac:dyDescent="0.25">
      <c r="A60" s="18"/>
      <c r="B60" s="223" t="s">
        <v>676</v>
      </c>
      <c r="C60" s="20" t="s">
        <v>677</v>
      </c>
      <c r="D60" s="335">
        <v>1067.4000000000001</v>
      </c>
      <c r="E60" s="170">
        <v>0</v>
      </c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586">
        <f t="shared" si="91"/>
        <v>0</v>
      </c>
      <c r="S60" s="335">
        <f t="shared" si="1"/>
        <v>0</v>
      </c>
      <c r="T60" s="335">
        <v>11700</v>
      </c>
      <c r="U60" s="335">
        <v>0</v>
      </c>
      <c r="V60" s="337"/>
      <c r="W60" s="337"/>
      <c r="X60" s="337"/>
      <c r="Y60" s="337"/>
      <c r="Z60" s="337"/>
      <c r="AA60" s="337"/>
      <c r="AB60" s="337"/>
      <c r="AC60" s="337"/>
      <c r="AD60" s="337"/>
      <c r="AE60" s="337"/>
      <c r="AF60" s="337"/>
      <c r="AG60" s="337"/>
      <c r="AH60" s="337"/>
      <c r="AI60" s="337"/>
      <c r="AJ60" s="566"/>
      <c r="AK60" s="566"/>
      <c r="AL60" s="566"/>
      <c r="AM60" s="566"/>
      <c r="AN60" s="566"/>
      <c r="AO60" s="566"/>
      <c r="AP60" s="566"/>
      <c r="AQ60" s="566"/>
      <c r="AR60" s="566"/>
      <c r="AS60" s="566"/>
      <c r="AT60" s="566"/>
      <c r="AU60" s="566"/>
      <c r="AV60" s="602">
        <f t="shared" si="5"/>
        <v>0</v>
      </c>
      <c r="AW60" s="337"/>
      <c r="AX60" s="337"/>
      <c r="AY60" s="99"/>
      <c r="AZ60" s="102"/>
      <c r="BA60" s="186"/>
      <c r="BB60" s="186"/>
      <c r="BC60" s="186"/>
      <c r="BD60" s="186"/>
    </row>
    <row r="61" spans="1:56" s="555" customFormat="1" ht="30" outlineLevel="7" x14ac:dyDescent="0.25">
      <c r="A61" s="8" t="s">
        <v>50</v>
      </c>
      <c r="B61" s="9" t="s">
        <v>371</v>
      </c>
      <c r="C61" s="10" t="s">
        <v>349</v>
      </c>
      <c r="D61" s="335">
        <v>13695.9</v>
      </c>
      <c r="E61" s="170">
        <v>52878.7</v>
      </c>
      <c r="F61" s="176"/>
      <c r="G61" s="176"/>
      <c r="H61" s="176"/>
      <c r="I61" s="176">
        <v>4537.8999999999996</v>
      </c>
      <c r="J61" s="176"/>
      <c r="K61" s="176">
        <v>2350.3000000000002</v>
      </c>
      <c r="L61" s="176">
        <v>2671.7</v>
      </c>
      <c r="M61" s="176">
        <v>2392.3000000000002</v>
      </c>
      <c r="N61" s="176">
        <v>5162.8</v>
      </c>
      <c r="O61" s="176">
        <v>11309.3</v>
      </c>
      <c r="P61" s="176">
        <v>2259.5</v>
      </c>
      <c r="Q61" s="176">
        <f>15313.9+5119.1+368.1</f>
        <v>20801.099999999999</v>
      </c>
      <c r="R61" s="586">
        <f t="shared" si="91"/>
        <v>51484.899999999994</v>
      </c>
      <c r="S61" s="335">
        <f t="shared" si="1"/>
        <v>0</v>
      </c>
      <c r="T61" s="337"/>
      <c r="U61" s="337">
        <f t="shared" si="2"/>
        <v>0</v>
      </c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566"/>
      <c r="AK61" s="566"/>
      <c r="AL61" s="566"/>
      <c r="AM61" s="566"/>
      <c r="AN61" s="566"/>
      <c r="AO61" s="566"/>
      <c r="AP61" s="566"/>
      <c r="AQ61" s="566"/>
      <c r="AR61" s="566"/>
      <c r="AS61" s="566"/>
      <c r="AT61" s="566"/>
      <c r="AU61" s="566"/>
      <c r="AV61" s="602">
        <f t="shared" si="5"/>
        <v>0</v>
      </c>
      <c r="AW61" s="337"/>
      <c r="AX61" s="337"/>
      <c r="AY61" s="99"/>
      <c r="AZ61" s="102"/>
      <c r="BA61" s="186"/>
      <c r="BB61" s="186"/>
      <c r="BC61" s="186"/>
      <c r="BD61" s="186"/>
    </row>
    <row r="62" spans="1:56" s="555" customFormat="1" ht="45" outlineLevel="7" x14ac:dyDescent="0.25">
      <c r="A62" s="8"/>
      <c r="B62" s="9" t="s">
        <v>651</v>
      </c>
      <c r="C62" s="10" t="s">
        <v>434</v>
      </c>
      <c r="D62" s="335"/>
      <c r="E62" s="170">
        <v>2626</v>
      </c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>
        <v>2282.9</v>
      </c>
      <c r="R62" s="586">
        <f t="shared" si="91"/>
        <v>2282.9</v>
      </c>
      <c r="S62" s="335">
        <f t="shared" si="1"/>
        <v>0</v>
      </c>
      <c r="T62" s="337"/>
      <c r="U62" s="337">
        <f t="shared" si="2"/>
        <v>0</v>
      </c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7"/>
      <c r="AJ62" s="566"/>
      <c r="AK62" s="566"/>
      <c r="AL62" s="566"/>
      <c r="AM62" s="566"/>
      <c r="AN62" s="566"/>
      <c r="AO62" s="566"/>
      <c r="AP62" s="566"/>
      <c r="AQ62" s="566"/>
      <c r="AR62" s="566"/>
      <c r="AS62" s="566"/>
      <c r="AT62" s="566"/>
      <c r="AU62" s="566"/>
      <c r="AV62" s="602">
        <f t="shared" si="5"/>
        <v>0</v>
      </c>
      <c r="AW62" s="337"/>
      <c r="AX62" s="337"/>
      <c r="AY62" s="99"/>
      <c r="AZ62" s="102"/>
      <c r="BA62" s="186"/>
      <c r="BB62" s="186"/>
      <c r="BC62" s="186"/>
      <c r="BD62" s="186"/>
    </row>
    <row r="63" spans="1:56" s="555" customFormat="1" ht="42.75" customHeight="1" outlineLevel="7" x14ac:dyDescent="0.25">
      <c r="A63" s="8" t="s">
        <v>36</v>
      </c>
      <c r="B63" s="9" t="s">
        <v>116</v>
      </c>
      <c r="C63" s="10" t="s">
        <v>38</v>
      </c>
      <c r="D63" s="335">
        <v>2202.3000000000002</v>
      </c>
      <c r="E63" s="170">
        <v>2202.1999999999998</v>
      </c>
      <c r="F63" s="176"/>
      <c r="G63" s="176"/>
      <c r="H63" s="176">
        <v>697.4</v>
      </c>
      <c r="I63" s="176">
        <v>697.3</v>
      </c>
      <c r="J63" s="176"/>
      <c r="K63" s="176"/>
      <c r="L63" s="176"/>
      <c r="M63" s="176"/>
      <c r="N63" s="176"/>
      <c r="O63" s="176">
        <v>697.5</v>
      </c>
      <c r="P63" s="176">
        <v>110</v>
      </c>
      <c r="Q63" s="176"/>
      <c r="R63" s="586">
        <f t="shared" si="91"/>
        <v>2202.1999999999998</v>
      </c>
      <c r="S63" s="335">
        <f t="shared" si="1"/>
        <v>0</v>
      </c>
      <c r="T63" s="337">
        <v>2132</v>
      </c>
      <c r="U63" s="337">
        <f t="shared" si="2"/>
        <v>2132</v>
      </c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7"/>
      <c r="AJ63" s="566"/>
      <c r="AK63" s="566"/>
      <c r="AL63" s="566"/>
      <c r="AM63" s="566"/>
      <c r="AN63" s="566"/>
      <c r="AO63" s="566"/>
      <c r="AP63" s="566"/>
      <c r="AQ63" s="566"/>
      <c r="AR63" s="566"/>
      <c r="AS63" s="566"/>
      <c r="AT63" s="566"/>
      <c r="AU63" s="566"/>
      <c r="AV63" s="602">
        <f t="shared" si="5"/>
        <v>0</v>
      </c>
      <c r="AW63" s="337"/>
      <c r="AX63" s="337"/>
      <c r="AY63" s="99"/>
      <c r="AZ63" s="102"/>
      <c r="BA63" s="186"/>
      <c r="BB63" s="186"/>
      <c r="BC63" s="186"/>
      <c r="BD63" s="186"/>
    </row>
    <row r="64" spans="1:56" s="555" customFormat="1" ht="67.5" customHeight="1" outlineLevel="7" x14ac:dyDescent="0.25">
      <c r="A64" s="8"/>
      <c r="B64" s="313" t="s">
        <v>447</v>
      </c>
      <c r="C64" s="10" t="s">
        <v>69</v>
      </c>
      <c r="D64" s="335">
        <v>3448.7</v>
      </c>
      <c r="E64" s="170">
        <v>3898.7</v>
      </c>
      <c r="F64" s="176"/>
      <c r="G64" s="176"/>
      <c r="H64" s="176">
        <v>1149.5999999999999</v>
      </c>
      <c r="I64" s="176">
        <v>1149.5</v>
      </c>
      <c r="J64" s="176"/>
      <c r="K64" s="176"/>
      <c r="L64" s="176"/>
      <c r="M64" s="176"/>
      <c r="N64" s="176"/>
      <c r="O64" s="176">
        <v>1149.5999999999999</v>
      </c>
      <c r="P64" s="176">
        <v>450</v>
      </c>
      <c r="Q64" s="176"/>
      <c r="R64" s="586">
        <f t="shared" si="91"/>
        <v>3898.7</v>
      </c>
      <c r="S64" s="335">
        <f t="shared" si="1"/>
        <v>0</v>
      </c>
      <c r="T64" s="337">
        <v>3449.8</v>
      </c>
      <c r="U64" s="337">
        <f t="shared" si="2"/>
        <v>3449.8</v>
      </c>
      <c r="V64" s="337"/>
      <c r="W64" s="337"/>
      <c r="X64" s="337"/>
      <c r="Y64" s="337"/>
      <c r="Z64" s="337"/>
      <c r="AA64" s="337"/>
      <c r="AB64" s="337"/>
      <c r="AC64" s="337"/>
      <c r="AD64" s="337"/>
      <c r="AE64" s="337"/>
      <c r="AF64" s="337"/>
      <c r="AG64" s="337"/>
      <c r="AH64" s="337"/>
      <c r="AI64" s="337"/>
      <c r="AJ64" s="566"/>
      <c r="AK64" s="566"/>
      <c r="AL64" s="566"/>
      <c r="AM64" s="566"/>
      <c r="AN64" s="566"/>
      <c r="AO64" s="566"/>
      <c r="AP64" s="566"/>
      <c r="AQ64" s="566"/>
      <c r="AR64" s="566"/>
      <c r="AS64" s="566"/>
      <c r="AT64" s="566"/>
      <c r="AU64" s="566"/>
      <c r="AV64" s="602">
        <f t="shared" si="5"/>
        <v>0</v>
      </c>
      <c r="AW64" s="337"/>
      <c r="AX64" s="337"/>
      <c r="AY64" s="99"/>
      <c r="AZ64" s="102"/>
      <c r="BA64" s="186"/>
      <c r="BB64" s="186"/>
      <c r="BC64" s="186"/>
      <c r="BD64" s="186"/>
    </row>
    <row r="65" spans="1:58" s="555" customFormat="1" ht="30" outlineLevel="7" x14ac:dyDescent="0.25">
      <c r="A65" s="8"/>
      <c r="B65" s="9" t="s">
        <v>281</v>
      </c>
      <c r="C65" s="10" t="s">
        <v>350</v>
      </c>
      <c r="D65" s="335">
        <v>2048.3000000000002</v>
      </c>
      <c r="E65" s="170">
        <v>2048.3000000000002</v>
      </c>
      <c r="F65" s="176"/>
      <c r="G65" s="176"/>
      <c r="H65" s="176"/>
      <c r="I65" s="176"/>
      <c r="J65" s="176"/>
      <c r="K65" s="176">
        <v>1210.2</v>
      </c>
      <c r="L65" s="176">
        <v>838.1</v>
      </c>
      <c r="M65" s="176"/>
      <c r="N65" s="176"/>
      <c r="O65" s="176"/>
      <c r="P65" s="176"/>
      <c r="Q65" s="176"/>
      <c r="R65" s="586">
        <f t="shared" si="91"/>
        <v>2048.3000000000002</v>
      </c>
      <c r="S65" s="335">
        <f t="shared" si="1"/>
        <v>0</v>
      </c>
      <c r="T65" s="337">
        <v>870.2</v>
      </c>
      <c r="U65" s="337"/>
      <c r="V65" s="337"/>
      <c r="W65" s="337"/>
      <c r="X65" s="337"/>
      <c r="Y65" s="337"/>
      <c r="Z65" s="337"/>
      <c r="AA65" s="337"/>
      <c r="AB65" s="337"/>
      <c r="AC65" s="337"/>
      <c r="AD65" s="337"/>
      <c r="AE65" s="337"/>
      <c r="AF65" s="337"/>
      <c r="AG65" s="337"/>
      <c r="AH65" s="337"/>
      <c r="AI65" s="337"/>
      <c r="AJ65" s="566"/>
      <c r="AK65" s="566"/>
      <c r="AL65" s="566"/>
      <c r="AM65" s="566"/>
      <c r="AN65" s="566"/>
      <c r="AO65" s="566"/>
      <c r="AP65" s="566"/>
      <c r="AQ65" s="566"/>
      <c r="AR65" s="566"/>
      <c r="AS65" s="566"/>
      <c r="AT65" s="566"/>
      <c r="AU65" s="566"/>
      <c r="AV65" s="602">
        <f t="shared" si="5"/>
        <v>0</v>
      </c>
      <c r="AW65" s="337"/>
      <c r="AX65" s="337"/>
      <c r="AY65" s="99"/>
      <c r="AZ65" s="102"/>
      <c r="BA65" s="186"/>
      <c r="BB65" s="186"/>
      <c r="BC65" s="186"/>
      <c r="BD65" s="186"/>
    </row>
    <row r="66" spans="1:58" ht="43.5" hidden="1" customHeight="1" x14ac:dyDescent="0.25">
      <c r="A66" s="585"/>
      <c r="B66" s="182" t="s">
        <v>268</v>
      </c>
      <c r="C66" s="10" t="s">
        <v>283</v>
      </c>
      <c r="D66" s="335">
        <v>2228.9</v>
      </c>
      <c r="E66" s="170">
        <v>0</v>
      </c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586">
        <f t="shared" si="91"/>
        <v>0</v>
      </c>
      <c r="S66" s="335">
        <f t="shared" si="1"/>
        <v>0</v>
      </c>
      <c r="T66" s="337"/>
      <c r="U66" s="337">
        <f t="shared" si="2"/>
        <v>0</v>
      </c>
      <c r="V66" s="337"/>
      <c r="W66" s="337"/>
      <c r="X66" s="337"/>
      <c r="Y66" s="337"/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566"/>
      <c r="AK66" s="566"/>
      <c r="AL66" s="566"/>
      <c r="AM66" s="566"/>
      <c r="AN66" s="566"/>
      <c r="AO66" s="566"/>
      <c r="AP66" s="566"/>
      <c r="AQ66" s="566"/>
      <c r="AR66" s="566"/>
      <c r="AS66" s="566"/>
      <c r="AT66" s="566"/>
      <c r="AU66" s="566"/>
      <c r="AV66" s="602">
        <f t="shared" si="5"/>
        <v>0</v>
      </c>
      <c r="AW66" s="337"/>
      <c r="AX66" s="337"/>
      <c r="AY66" s="99"/>
      <c r="AZ66" s="102"/>
      <c r="BA66" s="186"/>
      <c r="BB66" s="186"/>
      <c r="BC66" s="186"/>
      <c r="BD66" s="186"/>
    </row>
    <row r="67" spans="1:58" ht="63.75" customHeight="1" x14ac:dyDescent="0.25">
      <c r="A67" s="585"/>
      <c r="B67" s="584" t="s">
        <v>564</v>
      </c>
      <c r="C67" s="179" t="s">
        <v>565</v>
      </c>
      <c r="D67" s="335">
        <v>4600</v>
      </c>
      <c r="E67" s="170">
        <v>4600</v>
      </c>
      <c r="F67" s="176"/>
      <c r="G67" s="176"/>
      <c r="H67" s="176"/>
      <c r="I67" s="176"/>
      <c r="J67" s="176">
        <v>2012.7</v>
      </c>
      <c r="K67" s="176">
        <v>2587.3000000000002</v>
      </c>
      <c r="L67" s="176"/>
      <c r="M67" s="176"/>
      <c r="N67" s="176"/>
      <c r="O67" s="176"/>
      <c r="P67" s="176"/>
      <c r="Q67" s="176"/>
      <c r="R67" s="586">
        <f t="shared" si="91"/>
        <v>4600</v>
      </c>
      <c r="S67" s="335">
        <f t="shared" si="1"/>
        <v>0</v>
      </c>
      <c r="T67" s="337"/>
      <c r="U67" s="337">
        <f t="shared" si="2"/>
        <v>0</v>
      </c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566"/>
      <c r="AK67" s="566"/>
      <c r="AL67" s="566"/>
      <c r="AM67" s="566"/>
      <c r="AN67" s="566"/>
      <c r="AO67" s="566"/>
      <c r="AP67" s="566"/>
      <c r="AQ67" s="566"/>
      <c r="AR67" s="566"/>
      <c r="AS67" s="566"/>
      <c r="AT67" s="566"/>
      <c r="AU67" s="566"/>
      <c r="AV67" s="602">
        <f t="shared" si="5"/>
        <v>0</v>
      </c>
      <c r="AW67" s="337"/>
      <c r="AX67" s="337"/>
      <c r="AY67" s="99"/>
      <c r="AZ67" s="102"/>
      <c r="BA67" s="186"/>
      <c r="BB67" s="186"/>
      <c r="BC67" s="186"/>
      <c r="BD67" s="186"/>
    </row>
    <row r="68" spans="1:58" s="560" customFormat="1" ht="30" outlineLevel="7" x14ac:dyDescent="0.25">
      <c r="A68" s="8" t="s">
        <v>35</v>
      </c>
      <c r="B68" s="226" t="s">
        <v>258</v>
      </c>
      <c r="C68" s="10" t="s">
        <v>257</v>
      </c>
      <c r="D68" s="335">
        <v>2810.6</v>
      </c>
      <c r="E68" s="170">
        <v>0</v>
      </c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586">
        <f t="shared" ref="R68" si="92">SUM(F68:Q68)</f>
        <v>0</v>
      </c>
      <c r="S68" s="335">
        <f t="shared" ref="S68" si="93">F68</f>
        <v>0</v>
      </c>
      <c r="T68" s="337">
        <v>0</v>
      </c>
      <c r="U68" s="337">
        <v>2766.4</v>
      </c>
      <c r="V68" s="337"/>
      <c r="W68" s="337"/>
      <c r="X68" s="337"/>
      <c r="Y68" s="337"/>
      <c r="Z68" s="337"/>
      <c r="AA68" s="337"/>
      <c r="AB68" s="337"/>
      <c r="AC68" s="337"/>
      <c r="AD68" s="337"/>
      <c r="AE68" s="337"/>
      <c r="AF68" s="337"/>
      <c r="AG68" s="337"/>
      <c r="AH68" s="337"/>
      <c r="AI68" s="337"/>
      <c r="AJ68" s="566"/>
      <c r="AK68" s="566"/>
      <c r="AL68" s="566"/>
      <c r="AM68" s="566"/>
      <c r="AN68" s="566"/>
      <c r="AO68" s="566"/>
      <c r="AP68" s="566"/>
      <c r="AQ68" s="566"/>
      <c r="AR68" s="566"/>
      <c r="AS68" s="566"/>
      <c r="AT68" s="566"/>
      <c r="AU68" s="566"/>
      <c r="AV68" s="602">
        <f t="shared" ref="AV68" si="94">AU68+AT68+AS68+AR68+AQ68+AP68+AO68+AN68+AM68+AL68+AK68+AJ68</f>
        <v>0</v>
      </c>
      <c r="AW68" s="337"/>
      <c r="AX68" s="337"/>
      <c r="AY68" s="99"/>
      <c r="AZ68" s="102"/>
      <c r="BA68" s="186"/>
      <c r="BB68" s="186"/>
      <c r="BC68" s="186"/>
      <c r="BD68" s="186"/>
    </row>
    <row r="69" spans="1:58" s="555" customFormat="1" ht="30" outlineLevel="7" x14ac:dyDescent="0.25">
      <c r="A69" s="8"/>
      <c r="B69" s="223" t="s">
        <v>351</v>
      </c>
      <c r="C69" s="10" t="s">
        <v>262</v>
      </c>
      <c r="D69" s="335">
        <v>1032</v>
      </c>
      <c r="E69" s="170">
        <v>0</v>
      </c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586">
        <f t="shared" si="91"/>
        <v>0</v>
      </c>
      <c r="S69" s="335">
        <f t="shared" ref="S69:S118" si="95">F69</f>
        <v>0</v>
      </c>
      <c r="T69" s="337">
        <v>0</v>
      </c>
      <c r="U69" s="337">
        <v>584.29999999999995</v>
      </c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337"/>
      <c r="AI69" s="337"/>
      <c r="AJ69" s="566"/>
      <c r="AK69" s="566"/>
      <c r="AL69" s="566"/>
      <c r="AM69" s="566"/>
      <c r="AN69" s="566"/>
      <c r="AO69" s="566"/>
      <c r="AP69" s="566"/>
      <c r="AQ69" s="566"/>
      <c r="AR69" s="566"/>
      <c r="AS69" s="566"/>
      <c r="AT69" s="566"/>
      <c r="AU69" s="566"/>
      <c r="AV69" s="602">
        <f t="shared" ref="AV69:AV118" si="96">AU69+AT69+AS69+AR69+AQ69+AP69+AO69+AN69+AM69+AL69+AK69+AJ69</f>
        <v>0</v>
      </c>
      <c r="AW69" s="337"/>
      <c r="AX69" s="337"/>
      <c r="AY69" s="99"/>
      <c r="AZ69" s="102"/>
      <c r="BA69" s="186"/>
      <c r="BB69" s="186"/>
      <c r="BC69" s="186"/>
      <c r="BD69" s="186"/>
    </row>
    <row r="70" spans="1:58" s="555" customFormat="1" ht="75.75" customHeight="1" outlineLevel="7" x14ac:dyDescent="0.25">
      <c r="A70" s="8"/>
      <c r="B70" s="9" t="s">
        <v>353</v>
      </c>
      <c r="C70" s="10" t="s">
        <v>352</v>
      </c>
      <c r="D70" s="335">
        <v>2904.6</v>
      </c>
      <c r="E70" s="170">
        <v>2904.6</v>
      </c>
      <c r="F70" s="176"/>
      <c r="G70" s="176"/>
      <c r="H70" s="176"/>
      <c r="I70" s="176"/>
      <c r="J70" s="176"/>
      <c r="K70" s="176">
        <v>968.2</v>
      </c>
      <c r="L70" s="176">
        <v>968.2</v>
      </c>
      <c r="M70" s="176"/>
      <c r="N70" s="176">
        <v>968.2</v>
      </c>
      <c r="O70" s="176"/>
      <c r="P70" s="176"/>
      <c r="Q70" s="176"/>
      <c r="R70" s="586">
        <f t="shared" si="91"/>
        <v>2904.6000000000004</v>
      </c>
      <c r="S70" s="335">
        <f t="shared" si="95"/>
        <v>0</v>
      </c>
      <c r="T70" s="337">
        <v>663.7</v>
      </c>
      <c r="U70" s="337">
        <f t="shared" ref="U70:U117" si="97">T70</f>
        <v>663.7</v>
      </c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566"/>
      <c r="AK70" s="566"/>
      <c r="AL70" s="566"/>
      <c r="AM70" s="566"/>
      <c r="AN70" s="566"/>
      <c r="AO70" s="566"/>
      <c r="AP70" s="566"/>
      <c r="AQ70" s="566"/>
      <c r="AR70" s="566"/>
      <c r="AS70" s="566"/>
      <c r="AT70" s="566"/>
      <c r="AU70" s="566"/>
      <c r="AV70" s="602">
        <f t="shared" si="96"/>
        <v>0</v>
      </c>
      <c r="AW70" s="337"/>
      <c r="AX70" s="337"/>
      <c r="AY70" s="99"/>
      <c r="AZ70" s="102"/>
      <c r="BA70" s="186"/>
      <c r="BB70" s="186"/>
      <c r="BC70" s="186"/>
      <c r="BD70" s="186"/>
    </row>
    <row r="71" spans="1:58" s="555" customFormat="1" ht="50.25" customHeight="1" outlineLevel="7" x14ac:dyDescent="0.25">
      <c r="A71" s="8"/>
      <c r="B71" s="9" t="s">
        <v>215</v>
      </c>
      <c r="C71" s="10" t="s">
        <v>214</v>
      </c>
      <c r="D71" s="335">
        <v>0</v>
      </c>
      <c r="E71" s="170">
        <f>21703.1-2233.2</f>
        <v>19469.899999999998</v>
      </c>
      <c r="F71" s="176"/>
      <c r="G71" s="176"/>
      <c r="H71" s="176"/>
      <c r="I71" s="176"/>
      <c r="J71" s="176">
        <v>4988.8</v>
      </c>
      <c r="K71" s="176"/>
      <c r="L71" s="176">
        <f>4953.2+2115.4</f>
        <v>7068.6</v>
      </c>
      <c r="M71" s="176">
        <v>7412.5</v>
      </c>
      <c r="N71" s="176"/>
      <c r="O71" s="176"/>
      <c r="P71" s="176"/>
      <c r="Q71" s="176"/>
      <c r="R71" s="586">
        <f t="shared" si="91"/>
        <v>19469.900000000001</v>
      </c>
      <c r="S71" s="335">
        <f t="shared" si="95"/>
        <v>0</v>
      </c>
      <c r="T71" s="337"/>
      <c r="U71" s="337">
        <f t="shared" si="97"/>
        <v>0</v>
      </c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566"/>
      <c r="AK71" s="566"/>
      <c r="AL71" s="566"/>
      <c r="AM71" s="566"/>
      <c r="AN71" s="566"/>
      <c r="AO71" s="566"/>
      <c r="AP71" s="566"/>
      <c r="AQ71" s="566"/>
      <c r="AR71" s="566"/>
      <c r="AS71" s="566"/>
      <c r="AT71" s="566"/>
      <c r="AU71" s="566"/>
      <c r="AV71" s="602">
        <f t="shared" si="96"/>
        <v>0</v>
      </c>
      <c r="AW71" s="337"/>
      <c r="AX71" s="337"/>
      <c r="AY71" s="99"/>
      <c r="AZ71" s="102"/>
      <c r="BA71" s="186"/>
      <c r="BB71" s="186"/>
      <c r="BC71" s="186"/>
      <c r="BD71" s="186"/>
    </row>
    <row r="72" spans="1:58" s="555" customFormat="1" ht="50.25" hidden="1" customHeight="1" outlineLevel="7" x14ac:dyDescent="0.25">
      <c r="A72" s="8"/>
      <c r="B72" s="223" t="s">
        <v>448</v>
      </c>
      <c r="C72" s="10" t="s">
        <v>449</v>
      </c>
      <c r="D72" s="335">
        <v>0</v>
      </c>
      <c r="E72" s="170">
        <v>3772.8</v>
      </c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586">
        <f t="shared" si="91"/>
        <v>0</v>
      </c>
      <c r="S72" s="335">
        <f t="shared" si="95"/>
        <v>0</v>
      </c>
      <c r="T72" s="337"/>
      <c r="U72" s="337">
        <f t="shared" si="97"/>
        <v>0</v>
      </c>
      <c r="V72" s="337"/>
      <c r="W72" s="337"/>
      <c r="X72" s="337"/>
      <c r="Y72" s="337"/>
      <c r="Z72" s="337"/>
      <c r="AA72" s="337"/>
      <c r="AB72" s="337"/>
      <c r="AC72" s="337"/>
      <c r="AD72" s="337"/>
      <c r="AE72" s="337"/>
      <c r="AF72" s="337"/>
      <c r="AG72" s="337"/>
      <c r="AH72" s="337"/>
      <c r="AI72" s="337"/>
      <c r="AJ72" s="566"/>
      <c r="AK72" s="566"/>
      <c r="AL72" s="566"/>
      <c r="AM72" s="566"/>
      <c r="AN72" s="566"/>
      <c r="AO72" s="566"/>
      <c r="AP72" s="566"/>
      <c r="AQ72" s="566"/>
      <c r="AR72" s="566"/>
      <c r="AS72" s="566"/>
      <c r="AT72" s="566"/>
      <c r="AU72" s="566"/>
      <c r="AV72" s="602">
        <f t="shared" si="96"/>
        <v>0</v>
      </c>
      <c r="AW72" s="337"/>
      <c r="AX72" s="337"/>
      <c r="AY72" s="99"/>
      <c r="AZ72" s="102"/>
      <c r="BA72" s="186"/>
      <c r="BB72" s="186"/>
      <c r="BC72" s="186"/>
      <c r="BD72" s="186"/>
    </row>
    <row r="73" spans="1:58" s="555" customFormat="1" ht="33" customHeight="1" outlineLevel="7" x14ac:dyDescent="0.25">
      <c r="A73" s="8"/>
      <c r="B73" s="230" t="s">
        <v>267</v>
      </c>
      <c r="C73" s="10" t="s">
        <v>566</v>
      </c>
      <c r="D73" s="335">
        <v>0</v>
      </c>
      <c r="E73" s="170">
        <v>1692.9</v>
      </c>
      <c r="F73" s="176"/>
      <c r="G73" s="176"/>
      <c r="H73" s="176"/>
      <c r="I73" s="176"/>
      <c r="J73" s="176"/>
      <c r="K73" s="176"/>
      <c r="L73" s="176"/>
      <c r="M73" s="176"/>
      <c r="N73" s="176"/>
      <c r="O73" s="176">
        <v>1692.9</v>
      </c>
      <c r="P73" s="176"/>
      <c r="Q73" s="176"/>
      <c r="R73" s="586">
        <f t="shared" si="91"/>
        <v>1692.9</v>
      </c>
      <c r="S73" s="335">
        <f t="shared" si="95"/>
        <v>0</v>
      </c>
      <c r="T73" s="337"/>
      <c r="U73" s="337">
        <f t="shared" si="97"/>
        <v>0</v>
      </c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566"/>
      <c r="AK73" s="566"/>
      <c r="AL73" s="566"/>
      <c r="AM73" s="566"/>
      <c r="AN73" s="566"/>
      <c r="AO73" s="566"/>
      <c r="AP73" s="566"/>
      <c r="AQ73" s="566"/>
      <c r="AR73" s="566"/>
      <c r="AS73" s="566"/>
      <c r="AT73" s="566"/>
      <c r="AU73" s="566"/>
      <c r="AV73" s="602">
        <f t="shared" si="96"/>
        <v>0</v>
      </c>
      <c r="AW73" s="337"/>
      <c r="AX73" s="337"/>
      <c r="AY73" s="99"/>
      <c r="AZ73" s="102"/>
      <c r="BA73" s="186"/>
      <c r="BB73" s="186"/>
      <c r="BC73" s="186"/>
      <c r="BD73" s="186"/>
    </row>
    <row r="74" spans="1:58" s="555" customFormat="1" ht="46.5" hidden="1" customHeight="1" outlineLevel="7" x14ac:dyDescent="0.25">
      <c r="A74" s="8"/>
      <c r="B74" s="223"/>
      <c r="C74" s="10"/>
      <c r="D74" s="335">
        <v>0</v>
      </c>
      <c r="E74" s="170">
        <v>0</v>
      </c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586">
        <f t="shared" si="91"/>
        <v>0</v>
      </c>
      <c r="S74" s="335">
        <f t="shared" si="95"/>
        <v>0</v>
      </c>
      <c r="T74" s="337"/>
      <c r="U74" s="337">
        <f t="shared" si="97"/>
        <v>0</v>
      </c>
      <c r="V74" s="337"/>
      <c r="W74" s="337"/>
      <c r="X74" s="337"/>
      <c r="Y74" s="337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566"/>
      <c r="AK74" s="566"/>
      <c r="AL74" s="566"/>
      <c r="AM74" s="566"/>
      <c r="AN74" s="566"/>
      <c r="AO74" s="566"/>
      <c r="AP74" s="566"/>
      <c r="AQ74" s="566"/>
      <c r="AR74" s="566"/>
      <c r="AS74" s="566"/>
      <c r="AT74" s="566"/>
      <c r="AU74" s="566"/>
      <c r="AV74" s="602">
        <f t="shared" si="96"/>
        <v>0</v>
      </c>
      <c r="AW74" s="337"/>
      <c r="AX74" s="337"/>
      <c r="AY74" s="99"/>
      <c r="AZ74" s="102"/>
      <c r="BA74" s="186"/>
      <c r="BB74" s="186"/>
      <c r="BC74" s="186"/>
      <c r="BD74" s="186"/>
    </row>
    <row r="75" spans="1:58" s="555" customFormat="1" ht="24" customHeight="1" outlineLevel="2" x14ac:dyDescent="0.25">
      <c r="A75" s="8" t="s">
        <v>53</v>
      </c>
      <c r="B75" s="599" t="s">
        <v>125</v>
      </c>
      <c r="C75" s="600"/>
      <c r="D75" s="598">
        <f t="shared" ref="D75:Q75" si="98">SUM(D77:D104)</f>
        <v>399285.3</v>
      </c>
      <c r="E75" s="598">
        <f t="shared" si="98"/>
        <v>405786.30000000005</v>
      </c>
      <c r="F75" s="598">
        <f t="shared" si="98"/>
        <v>26154</v>
      </c>
      <c r="G75" s="598">
        <f t="shared" si="98"/>
        <v>27249.199999999997</v>
      </c>
      <c r="H75" s="598">
        <f t="shared" si="98"/>
        <v>29560.399999999994</v>
      </c>
      <c r="I75" s="598">
        <f t="shared" si="98"/>
        <v>58480</v>
      </c>
      <c r="J75" s="598">
        <f t="shared" si="98"/>
        <v>24169.900000000005</v>
      </c>
      <c r="K75" s="598">
        <f t="shared" si="98"/>
        <v>44900.100000000006</v>
      </c>
      <c r="L75" s="598">
        <f t="shared" si="98"/>
        <v>14328.8</v>
      </c>
      <c r="M75" s="598">
        <f t="shared" si="98"/>
        <v>40359.100000000006</v>
      </c>
      <c r="N75" s="598">
        <f t="shared" si="98"/>
        <v>26100.799999999999</v>
      </c>
      <c r="O75" s="598">
        <f t="shared" si="98"/>
        <v>51415.599999999991</v>
      </c>
      <c r="P75" s="598">
        <f t="shared" si="98"/>
        <v>1577.5</v>
      </c>
      <c r="Q75" s="598">
        <f t="shared" si="98"/>
        <v>52717.4</v>
      </c>
      <c r="R75" s="598">
        <f>SUM(R77:R104)+R76</f>
        <v>406582.40000000008</v>
      </c>
      <c r="S75" s="598">
        <f t="shared" ref="S75:AX75" si="99">SUM(S77:S104)+S76</f>
        <v>28546.400000000001</v>
      </c>
      <c r="T75" s="598">
        <f t="shared" si="99"/>
        <v>382074.5</v>
      </c>
      <c r="U75" s="598">
        <f t="shared" si="99"/>
        <v>382937.5</v>
      </c>
      <c r="V75" s="598">
        <f t="shared" si="99"/>
        <v>0</v>
      </c>
      <c r="W75" s="598">
        <f t="shared" si="99"/>
        <v>27436.299999999996</v>
      </c>
      <c r="X75" s="598">
        <f t="shared" si="99"/>
        <v>27436.299999999996</v>
      </c>
      <c r="Y75" s="598">
        <f t="shared" si="99"/>
        <v>0</v>
      </c>
      <c r="Z75" s="598">
        <f t="shared" si="99"/>
        <v>0</v>
      </c>
      <c r="AA75" s="598">
        <f t="shared" si="99"/>
        <v>0</v>
      </c>
      <c r="AB75" s="598">
        <f t="shared" si="99"/>
        <v>0</v>
      </c>
      <c r="AC75" s="598">
        <f t="shared" si="99"/>
        <v>0</v>
      </c>
      <c r="AD75" s="598">
        <f t="shared" si="99"/>
        <v>0</v>
      </c>
      <c r="AE75" s="598">
        <f t="shared" si="99"/>
        <v>0</v>
      </c>
      <c r="AF75" s="598">
        <f t="shared" si="99"/>
        <v>0</v>
      </c>
      <c r="AG75" s="598">
        <f t="shared" si="99"/>
        <v>0</v>
      </c>
      <c r="AH75" s="598">
        <f t="shared" si="99"/>
        <v>0</v>
      </c>
      <c r="AI75" s="598">
        <f t="shared" si="99"/>
        <v>0</v>
      </c>
      <c r="AJ75" s="598">
        <f t="shared" si="99"/>
        <v>27436.299999999996</v>
      </c>
      <c r="AK75" s="598">
        <f t="shared" si="99"/>
        <v>0</v>
      </c>
      <c r="AL75" s="598">
        <f t="shared" si="99"/>
        <v>0</v>
      </c>
      <c r="AM75" s="598">
        <f t="shared" si="99"/>
        <v>0</v>
      </c>
      <c r="AN75" s="598">
        <f t="shared" si="99"/>
        <v>0</v>
      </c>
      <c r="AO75" s="598">
        <f t="shared" si="99"/>
        <v>0</v>
      </c>
      <c r="AP75" s="598">
        <f t="shared" si="99"/>
        <v>0</v>
      </c>
      <c r="AQ75" s="598">
        <f t="shared" si="99"/>
        <v>0</v>
      </c>
      <c r="AR75" s="598">
        <f t="shared" si="99"/>
        <v>0</v>
      </c>
      <c r="AS75" s="598">
        <f t="shared" si="99"/>
        <v>0</v>
      </c>
      <c r="AT75" s="598">
        <f t="shared" si="99"/>
        <v>0</v>
      </c>
      <c r="AU75" s="598">
        <f t="shared" si="99"/>
        <v>0</v>
      </c>
      <c r="AV75" s="598">
        <f t="shared" si="99"/>
        <v>27436.299999999996</v>
      </c>
      <c r="AW75" s="598">
        <f t="shared" si="99"/>
        <v>0</v>
      </c>
      <c r="AX75" s="598">
        <f t="shared" si="99"/>
        <v>0</v>
      </c>
      <c r="AY75" s="169"/>
      <c r="AZ75" s="106"/>
      <c r="BA75" s="187"/>
      <c r="BB75" s="106"/>
      <c r="BC75" s="187"/>
      <c r="BD75" s="187"/>
      <c r="BF75" s="72"/>
    </row>
    <row r="76" spans="1:58" s="555" customFormat="1" ht="30" outlineLevel="7" x14ac:dyDescent="0.25">
      <c r="A76" s="178"/>
      <c r="B76" s="9" t="s">
        <v>271</v>
      </c>
      <c r="C76" s="179" t="s">
        <v>360</v>
      </c>
      <c r="D76" s="337">
        <v>9569.4</v>
      </c>
      <c r="E76" s="170">
        <v>9569.7000000000007</v>
      </c>
      <c r="F76" s="176">
        <v>2392.4</v>
      </c>
      <c r="G76" s="176"/>
      <c r="H76" s="176"/>
      <c r="I76" s="176">
        <v>2392.4</v>
      </c>
      <c r="J76" s="176"/>
      <c r="K76" s="176"/>
      <c r="L76" s="176">
        <v>2392.5</v>
      </c>
      <c r="M76" s="176"/>
      <c r="N76" s="176"/>
      <c r="O76" s="176">
        <v>2392.4</v>
      </c>
      <c r="P76" s="176"/>
      <c r="Q76" s="176"/>
      <c r="R76" s="586">
        <f>SUM(F76:Q76)</f>
        <v>9569.7000000000007</v>
      </c>
      <c r="S76" s="335">
        <f>F76</f>
        <v>2392.4</v>
      </c>
      <c r="T76" s="335">
        <v>9753.2000000000007</v>
      </c>
      <c r="U76" s="335">
        <v>9296.2000000000007</v>
      </c>
      <c r="V76" s="335"/>
      <c r="W76" s="335">
        <f>AV76</f>
        <v>2324</v>
      </c>
      <c r="X76" s="335">
        <f>AJ76</f>
        <v>2324</v>
      </c>
      <c r="Y76" s="335"/>
      <c r="Z76" s="335"/>
      <c r="AA76" s="335"/>
      <c r="AB76" s="335"/>
      <c r="AC76" s="335"/>
      <c r="AD76" s="335"/>
      <c r="AE76" s="335"/>
      <c r="AF76" s="335"/>
      <c r="AG76" s="335"/>
      <c r="AH76" s="335"/>
      <c r="AI76" s="335"/>
      <c r="AJ76" s="96">
        <v>2324</v>
      </c>
      <c r="AK76" s="566"/>
      <c r="AL76" s="566"/>
      <c r="AM76" s="566"/>
      <c r="AN76" s="566"/>
      <c r="AO76" s="566"/>
      <c r="AP76" s="566"/>
      <c r="AQ76" s="566"/>
      <c r="AR76" s="566"/>
      <c r="AS76" s="566"/>
      <c r="AT76" s="566"/>
      <c r="AU76" s="566"/>
      <c r="AV76" s="602">
        <f>AU76+AT76+AS76+AR76+AQ76+AP76+AO76+AN76+AM76+AL76+AK76+AJ76</f>
        <v>2324</v>
      </c>
      <c r="AW76" s="337"/>
      <c r="AX76" s="337"/>
      <c r="AY76" s="170"/>
      <c r="AZ76" s="102"/>
      <c r="BA76" s="186"/>
      <c r="BB76" s="186"/>
      <c r="BC76" s="186"/>
      <c r="BD76" s="186"/>
    </row>
    <row r="77" spans="1:58" s="555" customFormat="1" ht="30" outlineLevel="7" x14ac:dyDescent="0.25">
      <c r="A77" s="8" t="s">
        <v>54</v>
      </c>
      <c r="B77" s="9" t="s">
        <v>126</v>
      </c>
      <c r="C77" s="10" t="s">
        <v>55</v>
      </c>
      <c r="D77" s="337">
        <v>223604.6</v>
      </c>
      <c r="E77" s="335">
        <v>223604.6</v>
      </c>
      <c r="F77" s="176">
        <v>17702</v>
      </c>
      <c r="G77" s="176">
        <v>17702.099999999999</v>
      </c>
      <c r="H77" s="176">
        <v>17702</v>
      </c>
      <c r="I77" s="176">
        <f>17702.1+17702</f>
        <v>35404.1</v>
      </c>
      <c r="J77" s="176">
        <v>10621.2</v>
      </c>
      <c r="K77" s="176">
        <v>28323.200000000001</v>
      </c>
      <c r="L77" s="176">
        <v>7080.8</v>
      </c>
      <c r="M77" s="176">
        <v>7080.8</v>
      </c>
      <c r="N77" s="176">
        <v>17702.099999999999</v>
      </c>
      <c r="O77" s="176">
        <v>35404</v>
      </c>
      <c r="P77" s="176"/>
      <c r="Q77" s="176">
        <f>13778.2+8851</f>
        <v>22629.200000000001</v>
      </c>
      <c r="R77" s="586">
        <f t="shared" ref="R77:R82" si="100">SUM(F77:Q77)</f>
        <v>217351.5</v>
      </c>
      <c r="S77" s="335">
        <f t="shared" si="95"/>
        <v>17702</v>
      </c>
      <c r="T77" s="335">
        <v>217949.2</v>
      </c>
      <c r="U77" s="335">
        <f t="shared" si="97"/>
        <v>217949.2</v>
      </c>
      <c r="V77" s="335"/>
      <c r="W77" s="335">
        <f t="shared" ref="W77:W80" si="101">AV77</f>
        <v>17254.3</v>
      </c>
      <c r="X77" s="335">
        <f t="shared" ref="X77:X80" si="102">AJ77</f>
        <v>17254.3</v>
      </c>
      <c r="Y77" s="335"/>
      <c r="Z77" s="335"/>
      <c r="AA77" s="335"/>
      <c r="AB77" s="335"/>
      <c r="AC77" s="335"/>
      <c r="AD77" s="335"/>
      <c r="AE77" s="335"/>
      <c r="AF77" s="335"/>
      <c r="AG77" s="335"/>
      <c r="AH77" s="335"/>
      <c r="AI77" s="335"/>
      <c r="AJ77" s="96">
        <v>17254.3</v>
      </c>
      <c r="AK77" s="566"/>
      <c r="AL77" s="566"/>
      <c r="AM77" s="566"/>
      <c r="AN77" s="566"/>
      <c r="AO77" s="566"/>
      <c r="AP77" s="566"/>
      <c r="AQ77" s="566"/>
      <c r="AR77" s="566"/>
      <c r="AS77" s="566"/>
      <c r="AT77" s="566"/>
      <c r="AU77" s="566"/>
      <c r="AV77" s="602">
        <f t="shared" si="96"/>
        <v>17254.3</v>
      </c>
      <c r="AW77" s="337"/>
      <c r="AX77" s="337"/>
      <c r="AY77" s="170"/>
      <c r="AZ77" s="102"/>
      <c r="BA77" s="186"/>
      <c r="BB77" s="186"/>
      <c r="BC77" s="186"/>
      <c r="BD77" s="186"/>
    </row>
    <row r="78" spans="1:58" s="555" customFormat="1" ht="45.75" customHeight="1" outlineLevel="7" x14ac:dyDescent="0.25">
      <c r="A78" s="8"/>
      <c r="B78" s="9" t="s">
        <v>269</v>
      </c>
      <c r="C78" s="10" t="s">
        <v>270</v>
      </c>
      <c r="D78" s="337">
        <v>81455.7</v>
      </c>
      <c r="E78" s="335">
        <v>81455.7</v>
      </c>
      <c r="F78" s="176">
        <v>6448.6</v>
      </c>
      <c r="G78" s="176">
        <v>6448.5</v>
      </c>
      <c r="H78" s="176">
        <v>6448.6</v>
      </c>
      <c r="I78" s="176">
        <f>6448.6*2</f>
        <v>12897.2</v>
      </c>
      <c r="J78" s="176">
        <v>3869.1</v>
      </c>
      <c r="K78" s="176">
        <v>10317.700000000001</v>
      </c>
      <c r="L78" s="176">
        <v>2579.5</v>
      </c>
      <c r="M78" s="176">
        <v>2579.4</v>
      </c>
      <c r="N78" s="176">
        <v>6448.6</v>
      </c>
      <c r="O78" s="176">
        <v>12897.1</v>
      </c>
      <c r="P78" s="176"/>
      <c r="Q78" s="176">
        <f>5019.2+3224.3</f>
        <v>8243.5</v>
      </c>
      <c r="R78" s="586">
        <f t="shared" si="100"/>
        <v>79177.8</v>
      </c>
      <c r="S78" s="335">
        <f t="shared" si="95"/>
        <v>6448.6</v>
      </c>
      <c r="T78" s="335">
        <v>81619.100000000006</v>
      </c>
      <c r="U78" s="335">
        <f t="shared" si="97"/>
        <v>81619.100000000006</v>
      </c>
      <c r="V78" s="335"/>
      <c r="W78" s="335">
        <f t="shared" si="101"/>
        <v>6461.5</v>
      </c>
      <c r="X78" s="335">
        <f t="shared" si="102"/>
        <v>6461.5</v>
      </c>
      <c r="Y78" s="335"/>
      <c r="Z78" s="335"/>
      <c r="AA78" s="335"/>
      <c r="AB78" s="335"/>
      <c r="AC78" s="335"/>
      <c r="AD78" s="335"/>
      <c r="AE78" s="335"/>
      <c r="AF78" s="335"/>
      <c r="AG78" s="335"/>
      <c r="AH78" s="335"/>
      <c r="AI78" s="335"/>
      <c r="AJ78" s="96">
        <v>6461.5</v>
      </c>
      <c r="AK78" s="566"/>
      <c r="AL78" s="566"/>
      <c r="AM78" s="566"/>
      <c r="AN78" s="566"/>
      <c r="AO78" s="566"/>
      <c r="AP78" s="566"/>
      <c r="AQ78" s="566"/>
      <c r="AR78" s="566"/>
      <c r="AS78" s="566"/>
      <c r="AT78" s="566"/>
      <c r="AU78" s="566"/>
      <c r="AV78" s="602">
        <f t="shared" si="96"/>
        <v>6461.5</v>
      </c>
      <c r="AW78" s="337"/>
      <c r="AX78" s="337"/>
      <c r="AY78" s="170"/>
      <c r="AZ78" s="102"/>
      <c r="BA78" s="186"/>
      <c r="BB78" s="186"/>
      <c r="BC78" s="186"/>
      <c r="BD78" s="186"/>
    </row>
    <row r="79" spans="1:58" s="555" customFormat="1" ht="81" customHeight="1" outlineLevel="7" x14ac:dyDescent="0.25">
      <c r="A79" s="8" t="s">
        <v>54</v>
      </c>
      <c r="B79" s="11" t="s">
        <v>129</v>
      </c>
      <c r="C79" s="10" t="s">
        <v>58</v>
      </c>
      <c r="D79" s="337">
        <v>1014</v>
      </c>
      <c r="E79" s="335">
        <v>1014</v>
      </c>
      <c r="F79" s="176">
        <v>253.5</v>
      </c>
      <c r="G79" s="176"/>
      <c r="H79" s="176"/>
      <c r="I79" s="176">
        <v>253.5</v>
      </c>
      <c r="J79" s="176"/>
      <c r="K79" s="176"/>
      <c r="L79" s="176">
        <v>253.5</v>
      </c>
      <c r="M79" s="176"/>
      <c r="N79" s="176"/>
      <c r="O79" s="176">
        <v>253.5</v>
      </c>
      <c r="P79" s="176"/>
      <c r="Q79" s="176"/>
      <c r="R79" s="586">
        <f t="shared" si="100"/>
        <v>1014</v>
      </c>
      <c r="S79" s="335">
        <f t="shared" si="95"/>
        <v>253.5</v>
      </c>
      <c r="T79" s="335">
        <v>917</v>
      </c>
      <c r="U79" s="335">
        <f t="shared" si="97"/>
        <v>917</v>
      </c>
      <c r="V79" s="335"/>
      <c r="W79" s="335">
        <f t="shared" si="101"/>
        <v>229.3</v>
      </c>
      <c r="X79" s="335">
        <f t="shared" si="102"/>
        <v>229.3</v>
      </c>
      <c r="Y79" s="335"/>
      <c r="Z79" s="335"/>
      <c r="AA79" s="335"/>
      <c r="AB79" s="335"/>
      <c r="AC79" s="335"/>
      <c r="AD79" s="335"/>
      <c r="AE79" s="335"/>
      <c r="AF79" s="335"/>
      <c r="AG79" s="335"/>
      <c r="AH79" s="335"/>
      <c r="AI79" s="335"/>
      <c r="AJ79" s="96">
        <v>229.3</v>
      </c>
      <c r="AK79" s="566"/>
      <c r="AL79" s="566"/>
      <c r="AM79" s="566"/>
      <c r="AN79" s="566"/>
      <c r="AO79" s="566"/>
      <c r="AP79" s="566"/>
      <c r="AQ79" s="566"/>
      <c r="AR79" s="566"/>
      <c r="AS79" s="566"/>
      <c r="AT79" s="566"/>
      <c r="AU79" s="566"/>
      <c r="AV79" s="602">
        <f t="shared" si="96"/>
        <v>229.3</v>
      </c>
      <c r="AW79" s="337"/>
      <c r="AX79" s="337"/>
      <c r="AY79" s="170"/>
      <c r="AZ79" s="102"/>
      <c r="BA79" s="186"/>
      <c r="BB79" s="186"/>
      <c r="BC79" s="186"/>
      <c r="BD79" s="186"/>
    </row>
    <row r="80" spans="1:58" s="555" customFormat="1" ht="121.5" customHeight="1" outlineLevel="7" x14ac:dyDescent="0.25">
      <c r="A80" s="8" t="s">
        <v>54</v>
      </c>
      <c r="B80" s="11" t="s">
        <v>131</v>
      </c>
      <c r="C80" s="10" t="s">
        <v>68</v>
      </c>
      <c r="D80" s="337">
        <v>999.8</v>
      </c>
      <c r="E80" s="170">
        <v>999.8</v>
      </c>
      <c r="F80" s="176">
        <v>250</v>
      </c>
      <c r="G80" s="176"/>
      <c r="H80" s="176"/>
      <c r="I80" s="176">
        <v>249.9</v>
      </c>
      <c r="J80" s="176"/>
      <c r="K80" s="176"/>
      <c r="L80" s="176">
        <v>249.9</v>
      </c>
      <c r="M80" s="176"/>
      <c r="N80" s="176"/>
      <c r="O80" s="176">
        <v>250</v>
      </c>
      <c r="P80" s="176"/>
      <c r="Q80" s="176"/>
      <c r="R80" s="586">
        <f>SUM(F80:Q80)</f>
        <v>999.8</v>
      </c>
      <c r="S80" s="335">
        <f>F80</f>
        <v>250</v>
      </c>
      <c r="T80" s="335">
        <v>1033.3</v>
      </c>
      <c r="U80" s="335">
        <f>T80</f>
        <v>1033.3</v>
      </c>
      <c r="V80" s="335"/>
      <c r="W80" s="335">
        <f t="shared" si="101"/>
        <v>258.3</v>
      </c>
      <c r="X80" s="335">
        <f t="shared" si="102"/>
        <v>258.3</v>
      </c>
      <c r="Y80" s="335"/>
      <c r="Z80" s="335"/>
      <c r="AA80" s="335"/>
      <c r="AB80" s="335"/>
      <c r="AC80" s="335"/>
      <c r="AD80" s="335"/>
      <c r="AE80" s="335"/>
      <c r="AF80" s="335"/>
      <c r="AG80" s="335"/>
      <c r="AH80" s="335"/>
      <c r="AI80" s="335"/>
      <c r="AJ80" s="96">
        <v>258.3</v>
      </c>
      <c r="AK80" s="566"/>
      <c r="AL80" s="566"/>
      <c r="AM80" s="566"/>
      <c r="AN80" s="566"/>
      <c r="AO80" s="566"/>
      <c r="AP80" s="566"/>
      <c r="AQ80" s="566"/>
      <c r="AR80" s="566"/>
      <c r="AS80" s="566"/>
      <c r="AT80" s="566"/>
      <c r="AU80" s="566"/>
      <c r="AV80" s="602">
        <f>AU80+AT80+AS80+AR80+AQ80+AP80+AO80+AN80+AM80+AL80+AK80+AJ80</f>
        <v>258.3</v>
      </c>
      <c r="AW80" s="337"/>
      <c r="AX80" s="337"/>
      <c r="AY80" s="170"/>
      <c r="AZ80" s="102"/>
      <c r="BA80" s="186"/>
      <c r="BB80" s="186"/>
      <c r="BC80" s="186"/>
      <c r="BD80" s="186"/>
    </row>
    <row r="81" spans="1:56" s="555" customFormat="1" ht="91.5" customHeight="1" outlineLevel="7" x14ac:dyDescent="0.25">
      <c r="A81" s="8" t="s">
        <v>54</v>
      </c>
      <c r="B81" s="11" t="s">
        <v>128</v>
      </c>
      <c r="C81" s="20" t="s">
        <v>57</v>
      </c>
      <c r="D81" s="337">
        <v>485.2</v>
      </c>
      <c r="E81" s="170">
        <v>242.6</v>
      </c>
      <c r="F81" s="176"/>
      <c r="G81" s="176"/>
      <c r="H81" s="176"/>
      <c r="I81" s="176">
        <v>121.3</v>
      </c>
      <c r="J81" s="176"/>
      <c r="K81" s="176"/>
      <c r="L81" s="176">
        <v>60.6</v>
      </c>
      <c r="M81" s="176"/>
      <c r="N81" s="176"/>
      <c r="O81" s="176"/>
      <c r="P81" s="176"/>
      <c r="Q81" s="176">
        <v>-181.9</v>
      </c>
      <c r="R81" s="586">
        <f>SUM(F81:Q81)</f>
        <v>0</v>
      </c>
      <c r="S81" s="335">
        <f>F81</f>
        <v>0</v>
      </c>
      <c r="T81" s="335">
        <v>403.8</v>
      </c>
      <c r="U81" s="335">
        <f>T81</f>
        <v>403.8</v>
      </c>
      <c r="V81" s="335"/>
      <c r="W81" s="335"/>
      <c r="X81" s="335"/>
      <c r="Y81" s="335"/>
      <c r="Z81" s="335"/>
      <c r="AA81" s="335"/>
      <c r="AB81" s="335"/>
      <c r="AC81" s="335"/>
      <c r="AD81" s="335"/>
      <c r="AE81" s="335"/>
      <c r="AF81" s="335"/>
      <c r="AG81" s="335"/>
      <c r="AH81" s="335"/>
      <c r="AI81" s="335"/>
      <c r="AJ81" s="96"/>
      <c r="AK81" s="566"/>
      <c r="AL81" s="566"/>
      <c r="AM81" s="566"/>
      <c r="AN81" s="566"/>
      <c r="AO81" s="566"/>
      <c r="AP81" s="566"/>
      <c r="AQ81" s="566"/>
      <c r="AR81" s="566"/>
      <c r="AS81" s="566"/>
      <c r="AT81" s="566"/>
      <c r="AU81" s="566"/>
      <c r="AV81" s="602">
        <f>AU81+AT81+AS81+AR81+AQ81+AP81+AO81+AN81+AM81+AL81+AK81+AJ81</f>
        <v>0</v>
      </c>
      <c r="AW81" s="337"/>
      <c r="AX81" s="337"/>
      <c r="AY81" s="170"/>
      <c r="AZ81" s="102"/>
      <c r="BA81" s="186"/>
      <c r="BB81" s="186"/>
      <c r="BC81" s="186"/>
      <c r="BD81" s="186"/>
    </row>
    <row r="82" spans="1:56" s="555" customFormat="1" ht="120" outlineLevel="7" x14ac:dyDescent="0.25">
      <c r="A82" s="8"/>
      <c r="B82" s="11" t="s">
        <v>567</v>
      </c>
      <c r="C82" s="10" t="s">
        <v>487</v>
      </c>
      <c r="D82" s="337">
        <v>0</v>
      </c>
      <c r="E82" s="335">
        <v>546.79999999999995</v>
      </c>
      <c r="F82" s="285"/>
      <c r="G82" s="176">
        <v>91.1</v>
      </c>
      <c r="H82" s="176">
        <v>45.6</v>
      </c>
      <c r="I82" s="176">
        <v>45.6</v>
      </c>
      <c r="J82" s="176">
        <v>141.19999999999999</v>
      </c>
      <c r="K82" s="176"/>
      <c r="L82" s="176">
        <v>22.8</v>
      </c>
      <c r="M82" s="176">
        <v>18.3</v>
      </c>
      <c r="N82" s="176">
        <v>45.5</v>
      </c>
      <c r="O82" s="176">
        <v>45.6</v>
      </c>
      <c r="P82" s="176">
        <v>45.6</v>
      </c>
      <c r="Q82" s="176">
        <v>45.5</v>
      </c>
      <c r="R82" s="586">
        <f t="shared" si="100"/>
        <v>546.80000000000007</v>
      </c>
      <c r="S82" s="335">
        <f t="shared" si="95"/>
        <v>0</v>
      </c>
      <c r="T82" s="335">
        <v>546.79999999999995</v>
      </c>
      <c r="U82" s="335">
        <f t="shared" si="97"/>
        <v>546.79999999999995</v>
      </c>
      <c r="V82" s="335"/>
      <c r="W82" s="335"/>
      <c r="X82" s="335"/>
      <c r="Y82" s="335"/>
      <c r="Z82" s="335"/>
      <c r="AA82" s="335"/>
      <c r="AB82" s="335"/>
      <c r="AC82" s="335"/>
      <c r="AD82" s="335"/>
      <c r="AE82" s="335"/>
      <c r="AF82" s="335"/>
      <c r="AG82" s="335"/>
      <c r="AH82" s="335"/>
      <c r="AI82" s="335"/>
      <c r="AJ82" s="96"/>
      <c r="AK82" s="566"/>
      <c r="AL82" s="566"/>
      <c r="AM82" s="566"/>
      <c r="AN82" s="566"/>
      <c r="AO82" s="566"/>
      <c r="AP82" s="566"/>
      <c r="AQ82" s="566"/>
      <c r="AR82" s="566"/>
      <c r="AS82" s="566"/>
      <c r="AT82" s="566"/>
      <c r="AU82" s="566"/>
      <c r="AV82" s="602">
        <f t="shared" si="96"/>
        <v>0</v>
      </c>
      <c r="AW82" s="337"/>
      <c r="AX82" s="337"/>
      <c r="AY82" s="170"/>
      <c r="AZ82" s="102"/>
      <c r="BA82" s="186"/>
      <c r="BB82" s="186"/>
      <c r="BC82" s="186"/>
      <c r="BD82" s="186"/>
    </row>
    <row r="83" spans="1:56" s="555" customFormat="1" ht="75.75" customHeight="1" outlineLevel="7" thickBot="1" x14ac:dyDescent="0.3">
      <c r="A83" s="8" t="s">
        <v>54</v>
      </c>
      <c r="B83" s="293" t="s">
        <v>133</v>
      </c>
      <c r="C83" s="282" t="s">
        <v>73</v>
      </c>
      <c r="D83" s="337">
        <v>747.4</v>
      </c>
      <c r="E83" s="335">
        <v>747.4</v>
      </c>
      <c r="F83" s="422">
        <v>186.9</v>
      </c>
      <c r="G83" s="431"/>
      <c r="H83" s="261"/>
      <c r="I83" s="261">
        <v>186.8</v>
      </c>
      <c r="J83" s="261"/>
      <c r="K83" s="261"/>
      <c r="L83" s="261">
        <v>186.8</v>
      </c>
      <c r="M83" s="261"/>
      <c r="N83" s="261"/>
      <c r="O83" s="261">
        <v>186.9</v>
      </c>
      <c r="P83" s="261"/>
      <c r="Q83" s="261"/>
      <c r="R83" s="586">
        <f t="shared" ref="R83:R104" si="103">SUM(F83:Q83)</f>
        <v>747.4</v>
      </c>
      <c r="S83" s="335">
        <f t="shared" si="95"/>
        <v>186.9</v>
      </c>
      <c r="T83" s="335">
        <v>658.6</v>
      </c>
      <c r="U83" s="335">
        <f t="shared" si="97"/>
        <v>658.6</v>
      </c>
      <c r="V83" s="335"/>
      <c r="W83" s="335">
        <f>AV83</f>
        <v>164.7</v>
      </c>
      <c r="X83" s="335">
        <f>AJ83</f>
        <v>164.7</v>
      </c>
      <c r="Y83" s="335"/>
      <c r="Z83" s="335"/>
      <c r="AA83" s="335"/>
      <c r="AB83" s="335"/>
      <c r="AC83" s="335"/>
      <c r="AD83" s="335"/>
      <c r="AE83" s="335"/>
      <c r="AF83" s="335"/>
      <c r="AG83" s="335"/>
      <c r="AH83" s="335"/>
      <c r="AI83" s="335"/>
      <c r="AJ83" s="96">
        <v>164.7</v>
      </c>
      <c r="AK83" s="566"/>
      <c r="AL83" s="566"/>
      <c r="AM83" s="566"/>
      <c r="AN83" s="566"/>
      <c r="AO83" s="566"/>
      <c r="AP83" s="566"/>
      <c r="AQ83" s="566"/>
      <c r="AR83" s="566"/>
      <c r="AS83" s="566"/>
      <c r="AT83" s="566"/>
      <c r="AU83" s="566"/>
      <c r="AV83" s="602">
        <f t="shared" si="96"/>
        <v>164.7</v>
      </c>
      <c r="AW83" s="337"/>
      <c r="AX83" s="337"/>
      <c r="AY83" s="170"/>
      <c r="AZ83" s="102"/>
      <c r="BA83" s="186"/>
      <c r="BB83" s="186"/>
      <c r="BC83" s="186"/>
      <c r="BD83" s="186"/>
    </row>
    <row r="84" spans="1:56" s="555" customFormat="1" ht="97.5" customHeight="1" outlineLevel="5" x14ac:dyDescent="0.25">
      <c r="A84" s="8" t="s">
        <v>74</v>
      </c>
      <c r="B84" s="177" t="s">
        <v>276</v>
      </c>
      <c r="C84" s="247" t="s">
        <v>277</v>
      </c>
      <c r="D84" s="337">
        <v>2932.6</v>
      </c>
      <c r="E84" s="335">
        <v>2932.6</v>
      </c>
      <c r="F84" s="253">
        <v>733.2</v>
      </c>
      <c r="G84" s="253">
        <v>-0.1</v>
      </c>
      <c r="H84" s="253"/>
      <c r="I84" s="253">
        <v>733.2</v>
      </c>
      <c r="J84" s="253"/>
      <c r="K84" s="253"/>
      <c r="L84" s="253">
        <v>733.2</v>
      </c>
      <c r="M84" s="253"/>
      <c r="N84" s="253"/>
      <c r="O84" s="253">
        <v>733.1</v>
      </c>
      <c r="P84" s="253"/>
      <c r="Q84" s="253"/>
      <c r="R84" s="586">
        <f t="shared" si="103"/>
        <v>2932.6</v>
      </c>
      <c r="S84" s="335">
        <f t="shared" si="95"/>
        <v>733.2</v>
      </c>
      <c r="T84" s="335">
        <v>2762.5</v>
      </c>
      <c r="U84" s="335">
        <f t="shared" si="97"/>
        <v>2762.5</v>
      </c>
      <c r="V84" s="335"/>
      <c r="W84" s="335">
        <f>AV84</f>
        <v>690.6</v>
      </c>
      <c r="X84" s="335">
        <f>AJ84</f>
        <v>690.6</v>
      </c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96">
        <v>690.6</v>
      </c>
      <c r="AK84" s="566"/>
      <c r="AL84" s="566"/>
      <c r="AM84" s="566"/>
      <c r="AN84" s="566"/>
      <c r="AO84" s="566"/>
      <c r="AP84" s="566"/>
      <c r="AQ84" s="566"/>
      <c r="AR84" s="566"/>
      <c r="AS84" s="566"/>
      <c r="AT84" s="566"/>
      <c r="AU84" s="566"/>
      <c r="AV84" s="602">
        <f t="shared" si="96"/>
        <v>690.6</v>
      </c>
      <c r="AW84" s="337"/>
      <c r="AX84" s="337"/>
      <c r="AY84" s="170"/>
      <c r="AZ84" s="102"/>
      <c r="BA84" s="186"/>
      <c r="BB84" s="186"/>
      <c r="BC84" s="186"/>
      <c r="BD84" s="186"/>
    </row>
    <row r="85" spans="1:56" s="555" customFormat="1" ht="45" outlineLevel="7" x14ac:dyDescent="0.25">
      <c r="A85" s="8" t="s">
        <v>54</v>
      </c>
      <c r="B85" s="11" t="s">
        <v>130</v>
      </c>
      <c r="C85" s="10" t="s">
        <v>63</v>
      </c>
      <c r="D85" s="337">
        <v>531.20000000000005</v>
      </c>
      <c r="E85" s="335">
        <v>531.20000000000005</v>
      </c>
      <c r="F85" s="176">
        <v>531.20000000000005</v>
      </c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586">
        <f t="shared" ref="R85:R99" si="104">SUM(F85:Q85)</f>
        <v>531.20000000000005</v>
      </c>
      <c r="S85" s="335">
        <f t="shared" ref="S85:S101" si="105">F85</f>
        <v>531.20000000000005</v>
      </c>
      <c r="T85" s="335">
        <v>961.7</v>
      </c>
      <c r="U85" s="335">
        <f>T85</f>
        <v>961.7</v>
      </c>
      <c r="V85" s="335"/>
      <c r="W85" s="335"/>
      <c r="X85" s="335"/>
      <c r="Y85" s="335"/>
      <c r="Z85" s="335"/>
      <c r="AA85" s="335"/>
      <c r="AB85" s="335"/>
      <c r="AC85" s="335"/>
      <c r="AD85" s="335"/>
      <c r="AE85" s="335"/>
      <c r="AF85" s="335"/>
      <c r="AG85" s="335"/>
      <c r="AH85" s="335"/>
      <c r="AI85" s="335"/>
      <c r="AJ85" s="96"/>
      <c r="AK85" s="566"/>
      <c r="AL85" s="566"/>
      <c r="AM85" s="566"/>
      <c r="AN85" s="566"/>
      <c r="AO85" s="566"/>
      <c r="AP85" s="566"/>
      <c r="AQ85" s="566"/>
      <c r="AR85" s="566"/>
      <c r="AS85" s="566"/>
      <c r="AT85" s="566"/>
      <c r="AU85" s="566"/>
      <c r="AV85" s="602">
        <f t="shared" ref="AV85:AV101" si="106">AU85+AT85+AS85+AR85+AQ85+AP85+AO85+AN85+AM85+AL85+AK85+AJ85</f>
        <v>0</v>
      </c>
      <c r="AW85" s="337"/>
      <c r="AX85" s="337"/>
      <c r="AY85" s="170"/>
      <c r="AZ85" s="102"/>
      <c r="BA85" s="186"/>
      <c r="BB85" s="186"/>
      <c r="BC85" s="186"/>
      <c r="BD85" s="186"/>
    </row>
    <row r="86" spans="1:56" s="555" customFormat="1" ht="90" outlineLevel="7" x14ac:dyDescent="0.25">
      <c r="A86" s="8"/>
      <c r="B86" s="2" t="s">
        <v>78</v>
      </c>
      <c r="C86" s="10" t="s">
        <v>77</v>
      </c>
      <c r="D86" s="337">
        <v>42412.5</v>
      </c>
      <c r="E86" s="170">
        <v>38566.9</v>
      </c>
      <c r="F86" s="176"/>
      <c r="G86" s="176"/>
      <c r="H86" s="176"/>
      <c r="I86" s="176"/>
      <c r="J86" s="176">
        <v>2266.9</v>
      </c>
      <c r="K86" s="176"/>
      <c r="L86" s="176"/>
      <c r="M86" s="176">
        <v>18113.7</v>
      </c>
      <c r="N86" s="176"/>
      <c r="O86" s="176"/>
      <c r="P86" s="176"/>
      <c r="Q86" s="176">
        <v>18186.3</v>
      </c>
      <c r="R86" s="586">
        <f t="shared" si="104"/>
        <v>38566.9</v>
      </c>
      <c r="S86" s="335">
        <f t="shared" si="105"/>
        <v>0</v>
      </c>
      <c r="T86" s="335">
        <v>46200</v>
      </c>
      <c r="U86" s="335">
        <v>47520</v>
      </c>
      <c r="V86" s="335"/>
      <c r="W86" s="335"/>
      <c r="X86" s="335"/>
      <c r="Y86" s="335"/>
      <c r="Z86" s="335"/>
      <c r="AA86" s="335"/>
      <c r="AB86" s="335"/>
      <c r="AC86" s="335"/>
      <c r="AD86" s="335"/>
      <c r="AE86" s="335"/>
      <c r="AF86" s="335"/>
      <c r="AG86" s="335"/>
      <c r="AH86" s="335"/>
      <c r="AI86" s="335"/>
      <c r="AJ86" s="96"/>
      <c r="AK86" s="566"/>
      <c r="AL86" s="566"/>
      <c r="AM86" s="566"/>
      <c r="AN86" s="566"/>
      <c r="AO86" s="566"/>
      <c r="AP86" s="566"/>
      <c r="AQ86" s="566"/>
      <c r="AR86" s="566"/>
      <c r="AS86" s="566"/>
      <c r="AT86" s="566"/>
      <c r="AU86" s="566"/>
      <c r="AV86" s="602">
        <f t="shared" si="106"/>
        <v>0</v>
      </c>
      <c r="AW86" s="337"/>
      <c r="AX86" s="337"/>
      <c r="AY86" s="170"/>
      <c r="AZ86" s="102"/>
      <c r="BA86" s="186"/>
      <c r="BB86" s="186"/>
      <c r="BC86" s="186"/>
      <c r="BD86" s="186"/>
    </row>
    <row r="87" spans="1:56" s="555" customFormat="1" ht="45" outlineLevel="7" x14ac:dyDescent="0.25">
      <c r="A87" s="8" t="s">
        <v>80</v>
      </c>
      <c r="B87" s="238" t="s">
        <v>134</v>
      </c>
      <c r="C87" s="10" t="s">
        <v>79</v>
      </c>
      <c r="D87" s="337">
        <v>6.5</v>
      </c>
      <c r="E87" s="170">
        <v>6.5</v>
      </c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>
        <v>6.5</v>
      </c>
      <c r="Q87" s="176"/>
      <c r="R87" s="586">
        <f t="shared" si="104"/>
        <v>6.5</v>
      </c>
      <c r="S87" s="335">
        <f t="shared" si="105"/>
        <v>0</v>
      </c>
      <c r="T87" s="335">
        <v>67</v>
      </c>
      <c r="U87" s="335">
        <f t="shared" ref="U87:U101" si="107">T87</f>
        <v>67</v>
      </c>
      <c r="V87" s="335"/>
      <c r="W87" s="335"/>
      <c r="X87" s="335"/>
      <c r="Y87" s="335"/>
      <c r="Z87" s="335"/>
      <c r="AA87" s="335"/>
      <c r="AB87" s="335"/>
      <c r="AC87" s="335"/>
      <c r="AD87" s="335"/>
      <c r="AE87" s="335"/>
      <c r="AF87" s="335"/>
      <c r="AG87" s="335"/>
      <c r="AH87" s="335"/>
      <c r="AI87" s="335"/>
      <c r="AJ87" s="96"/>
      <c r="AK87" s="566"/>
      <c r="AL87" s="566"/>
      <c r="AM87" s="566"/>
      <c r="AN87" s="566"/>
      <c r="AO87" s="566"/>
      <c r="AP87" s="566"/>
      <c r="AQ87" s="566"/>
      <c r="AR87" s="566"/>
      <c r="AS87" s="566"/>
      <c r="AT87" s="566"/>
      <c r="AU87" s="566"/>
      <c r="AV87" s="602">
        <f t="shared" si="106"/>
        <v>0</v>
      </c>
      <c r="AW87" s="337"/>
      <c r="AX87" s="337"/>
      <c r="AY87" s="170"/>
      <c r="AZ87" s="102"/>
      <c r="BA87" s="186"/>
      <c r="BB87" s="186"/>
      <c r="BC87" s="186"/>
      <c r="BD87" s="186"/>
    </row>
    <row r="88" spans="1:56" s="555" customFormat="1" ht="76.5" customHeight="1" outlineLevel="7" x14ac:dyDescent="0.25">
      <c r="A88" s="8"/>
      <c r="B88" s="21" t="s">
        <v>679</v>
      </c>
      <c r="C88" s="10" t="s">
        <v>680</v>
      </c>
      <c r="D88" s="337"/>
      <c r="E88" s="170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586">
        <f t="shared" si="104"/>
        <v>0</v>
      </c>
      <c r="S88" s="335">
        <f t="shared" si="105"/>
        <v>0</v>
      </c>
      <c r="T88" s="335">
        <v>1163.0999999999999</v>
      </c>
      <c r="U88" s="335">
        <f t="shared" si="107"/>
        <v>1163.0999999999999</v>
      </c>
      <c r="V88" s="335"/>
      <c r="W88" s="335"/>
      <c r="X88" s="335"/>
      <c r="Y88" s="335"/>
      <c r="Z88" s="335"/>
      <c r="AA88" s="335"/>
      <c r="AB88" s="335"/>
      <c r="AC88" s="335"/>
      <c r="AD88" s="335"/>
      <c r="AE88" s="335"/>
      <c r="AF88" s="335"/>
      <c r="AG88" s="335"/>
      <c r="AH88" s="335"/>
      <c r="AI88" s="335"/>
      <c r="AJ88" s="96"/>
      <c r="AK88" s="566"/>
      <c r="AL88" s="566"/>
      <c r="AM88" s="566"/>
      <c r="AN88" s="566"/>
      <c r="AO88" s="566"/>
      <c r="AP88" s="566"/>
      <c r="AQ88" s="566"/>
      <c r="AR88" s="566"/>
      <c r="AS88" s="566"/>
      <c r="AT88" s="566"/>
      <c r="AU88" s="566"/>
      <c r="AV88" s="602">
        <f t="shared" si="106"/>
        <v>0</v>
      </c>
      <c r="AW88" s="337"/>
      <c r="AX88" s="337"/>
      <c r="AY88" s="170"/>
      <c r="AZ88" s="102"/>
      <c r="BA88" s="186"/>
      <c r="BB88" s="186"/>
      <c r="BC88" s="186"/>
      <c r="BD88" s="186"/>
    </row>
    <row r="89" spans="1:56" s="555" customFormat="1" ht="65.25" customHeight="1" outlineLevel="7" x14ac:dyDescent="0.25">
      <c r="A89" s="8"/>
      <c r="B89" s="9" t="s">
        <v>142</v>
      </c>
      <c r="C89" s="10" t="s">
        <v>141</v>
      </c>
      <c r="D89" s="337"/>
      <c r="E89" s="170">
        <f>17967.6-91.3</f>
        <v>17876.3</v>
      </c>
      <c r="F89" s="176"/>
      <c r="G89" s="176">
        <v>3007.6</v>
      </c>
      <c r="H89" s="176">
        <v>1503.8</v>
      </c>
      <c r="I89" s="176">
        <v>1503.8</v>
      </c>
      <c r="J89" s="176">
        <v>4439.8999999999996</v>
      </c>
      <c r="K89" s="176"/>
      <c r="L89" s="176">
        <v>716.1</v>
      </c>
      <c r="M89" s="176">
        <v>716.1</v>
      </c>
      <c r="N89" s="176">
        <v>1525.4</v>
      </c>
      <c r="O89" s="176">
        <v>1525.4</v>
      </c>
      <c r="P89" s="176">
        <v>1525.4</v>
      </c>
      <c r="Q89" s="176">
        <v>1412.8</v>
      </c>
      <c r="R89" s="586">
        <f t="shared" si="104"/>
        <v>17876.3</v>
      </c>
      <c r="S89" s="335">
        <f t="shared" si="105"/>
        <v>0</v>
      </c>
      <c r="T89" s="335">
        <v>17811.400000000001</v>
      </c>
      <c r="U89" s="335">
        <f t="shared" si="107"/>
        <v>17811.400000000001</v>
      </c>
      <c r="V89" s="335"/>
      <c r="W89" s="335"/>
      <c r="X89" s="335"/>
      <c r="Y89" s="335"/>
      <c r="Z89" s="335"/>
      <c r="AA89" s="335"/>
      <c r="AB89" s="335"/>
      <c r="AC89" s="335"/>
      <c r="AD89" s="335"/>
      <c r="AE89" s="335"/>
      <c r="AF89" s="335"/>
      <c r="AG89" s="335"/>
      <c r="AH89" s="335"/>
      <c r="AI89" s="335"/>
      <c r="AJ89" s="96"/>
      <c r="AK89" s="566"/>
      <c r="AL89" s="566"/>
      <c r="AM89" s="566"/>
      <c r="AN89" s="566"/>
      <c r="AO89" s="566"/>
      <c r="AP89" s="566"/>
      <c r="AQ89" s="566"/>
      <c r="AR89" s="566"/>
      <c r="AS89" s="566"/>
      <c r="AT89" s="566"/>
      <c r="AU89" s="566"/>
      <c r="AV89" s="602">
        <f t="shared" si="106"/>
        <v>0</v>
      </c>
      <c r="AW89" s="337"/>
      <c r="AX89" s="337"/>
      <c r="AY89" s="170"/>
      <c r="AZ89" s="102"/>
      <c r="BA89" s="186"/>
      <c r="BB89" s="186"/>
      <c r="BC89" s="186"/>
      <c r="BD89" s="186"/>
    </row>
    <row r="90" spans="1:56" s="555" customFormat="1" ht="75" customHeight="1" outlineLevel="7" x14ac:dyDescent="0.25">
      <c r="A90" s="8" t="s">
        <v>54</v>
      </c>
      <c r="B90" s="9" t="s">
        <v>127</v>
      </c>
      <c r="C90" s="10" t="s">
        <v>56</v>
      </c>
      <c r="D90" s="337">
        <v>179.8</v>
      </c>
      <c r="E90" s="170">
        <v>194.6</v>
      </c>
      <c r="F90" s="176">
        <v>48.6</v>
      </c>
      <c r="G90" s="176"/>
      <c r="H90" s="176"/>
      <c r="I90" s="176">
        <v>48.7</v>
      </c>
      <c r="J90" s="176"/>
      <c r="K90" s="176"/>
      <c r="L90" s="176">
        <v>48.6</v>
      </c>
      <c r="M90" s="176"/>
      <c r="N90" s="176"/>
      <c r="O90" s="176">
        <v>48.7</v>
      </c>
      <c r="P90" s="176"/>
      <c r="Q90" s="176"/>
      <c r="R90" s="586">
        <f t="shared" si="104"/>
        <v>194.60000000000002</v>
      </c>
      <c r="S90" s="335">
        <f t="shared" si="105"/>
        <v>48.6</v>
      </c>
      <c r="T90" s="335">
        <v>214.3</v>
      </c>
      <c r="U90" s="335">
        <f t="shared" si="107"/>
        <v>214.3</v>
      </c>
      <c r="V90" s="335"/>
      <c r="W90" s="335">
        <f>AV90</f>
        <v>53.6</v>
      </c>
      <c r="X90" s="335">
        <f>AJ90</f>
        <v>53.6</v>
      </c>
      <c r="Y90" s="335"/>
      <c r="Z90" s="335"/>
      <c r="AA90" s="335"/>
      <c r="AB90" s="335"/>
      <c r="AC90" s="335"/>
      <c r="AD90" s="335"/>
      <c r="AE90" s="335"/>
      <c r="AF90" s="335"/>
      <c r="AG90" s="335"/>
      <c r="AH90" s="335"/>
      <c r="AI90" s="335"/>
      <c r="AJ90" s="96">
        <v>53.6</v>
      </c>
      <c r="AK90" s="566"/>
      <c r="AL90" s="566"/>
      <c r="AM90" s="566"/>
      <c r="AN90" s="566"/>
      <c r="AO90" s="566"/>
      <c r="AP90" s="566"/>
      <c r="AQ90" s="566"/>
      <c r="AR90" s="566"/>
      <c r="AS90" s="566"/>
      <c r="AT90" s="566"/>
      <c r="AU90" s="566"/>
      <c r="AV90" s="602">
        <f t="shared" si="106"/>
        <v>53.6</v>
      </c>
      <c r="AW90" s="337"/>
      <c r="AX90" s="337"/>
      <c r="AY90" s="170"/>
      <c r="AZ90" s="102"/>
      <c r="BA90" s="186"/>
      <c r="BB90" s="186"/>
      <c r="BC90" s="186"/>
      <c r="BD90" s="186"/>
    </row>
    <row r="91" spans="1:56" s="555" customFormat="1" ht="120" outlineLevel="7" x14ac:dyDescent="0.25">
      <c r="A91" s="8"/>
      <c r="B91" s="237" t="s">
        <v>260</v>
      </c>
      <c r="C91" s="10" t="s">
        <v>70</v>
      </c>
      <c r="D91" s="337">
        <v>15</v>
      </c>
      <c r="E91" s="170">
        <v>0</v>
      </c>
      <c r="F91" s="285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586">
        <f t="shared" si="104"/>
        <v>0</v>
      </c>
      <c r="S91" s="335">
        <f t="shared" si="105"/>
        <v>0</v>
      </c>
      <c r="T91" s="335">
        <v>13.5</v>
      </c>
      <c r="U91" s="335">
        <f t="shared" si="107"/>
        <v>13.5</v>
      </c>
      <c r="V91" s="335"/>
      <c r="W91" s="335"/>
      <c r="X91" s="335"/>
      <c r="Y91" s="335"/>
      <c r="Z91" s="335"/>
      <c r="AA91" s="335"/>
      <c r="AB91" s="335"/>
      <c r="AC91" s="335"/>
      <c r="AD91" s="335"/>
      <c r="AE91" s="335"/>
      <c r="AF91" s="335"/>
      <c r="AG91" s="335"/>
      <c r="AH91" s="335"/>
      <c r="AI91" s="335"/>
      <c r="AJ91" s="96"/>
      <c r="AK91" s="566"/>
      <c r="AL91" s="566"/>
      <c r="AM91" s="566"/>
      <c r="AN91" s="566"/>
      <c r="AO91" s="566"/>
      <c r="AP91" s="566"/>
      <c r="AQ91" s="566"/>
      <c r="AR91" s="566"/>
      <c r="AS91" s="566"/>
      <c r="AT91" s="566"/>
      <c r="AU91" s="566"/>
      <c r="AV91" s="602">
        <f t="shared" si="106"/>
        <v>0</v>
      </c>
      <c r="AW91" s="337"/>
      <c r="AX91" s="337"/>
      <c r="AY91" s="170"/>
      <c r="AZ91" s="102"/>
      <c r="BA91" s="186"/>
      <c r="BB91" s="186"/>
      <c r="BC91" s="186"/>
      <c r="BD91" s="186"/>
    </row>
    <row r="92" spans="1:56" s="555" customFormat="1" ht="73.5" customHeight="1" outlineLevel="7" x14ac:dyDescent="0.25">
      <c r="A92" s="8" t="s">
        <v>54</v>
      </c>
      <c r="B92" s="9" t="s">
        <v>372</v>
      </c>
      <c r="C92" s="10" t="s">
        <v>227</v>
      </c>
      <c r="D92" s="337">
        <v>680</v>
      </c>
      <c r="E92" s="170">
        <v>326.2</v>
      </c>
      <c r="F92" s="176"/>
      <c r="G92" s="176"/>
      <c r="H92" s="176"/>
      <c r="I92" s="176">
        <v>326.2</v>
      </c>
      <c r="J92" s="176"/>
      <c r="K92" s="176"/>
      <c r="L92" s="176"/>
      <c r="M92" s="176"/>
      <c r="N92" s="176"/>
      <c r="O92" s="176"/>
      <c r="P92" s="176"/>
      <c r="Q92" s="176"/>
      <c r="R92" s="586">
        <f t="shared" si="104"/>
        <v>326.2</v>
      </c>
      <c r="S92" s="335">
        <f t="shared" si="105"/>
        <v>0</v>
      </c>
      <c r="T92" s="335"/>
      <c r="U92" s="335">
        <f t="shared" si="107"/>
        <v>0</v>
      </c>
      <c r="V92" s="335"/>
      <c r="W92" s="335"/>
      <c r="X92" s="335"/>
      <c r="Y92" s="335"/>
      <c r="Z92" s="335"/>
      <c r="AA92" s="335"/>
      <c r="AB92" s="335"/>
      <c r="AC92" s="335"/>
      <c r="AD92" s="335"/>
      <c r="AE92" s="335"/>
      <c r="AF92" s="335"/>
      <c r="AG92" s="335"/>
      <c r="AH92" s="335"/>
      <c r="AI92" s="335"/>
      <c r="AJ92" s="96"/>
      <c r="AK92" s="566"/>
      <c r="AL92" s="566"/>
      <c r="AM92" s="566"/>
      <c r="AN92" s="566"/>
      <c r="AO92" s="566"/>
      <c r="AP92" s="566"/>
      <c r="AQ92" s="566"/>
      <c r="AR92" s="566"/>
      <c r="AS92" s="566"/>
      <c r="AT92" s="566"/>
      <c r="AU92" s="566"/>
      <c r="AV92" s="602">
        <f t="shared" si="106"/>
        <v>0</v>
      </c>
      <c r="AW92" s="337"/>
      <c r="AX92" s="337"/>
      <c r="AY92" s="170"/>
      <c r="AZ92" s="102"/>
      <c r="BA92" s="186"/>
      <c r="BB92" s="186"/>
      <c r="BC92" s="186"/>
      <c r="BD92" s="186"/>
    </row>
    <row r="93" spans="1:56" s="555" customFormat="1" ht="72.75" customHeight="1" outlineLevel="7" x14ac:dyDescent="0.25">
      <c r="A93" s="8"/>
      <c r="B93" s="9" t="s">
        <v>373</v>
      </c>
      <c r="C93" s="10" t="s">
        <v>259</v>
      </c>
      <c r="D93" s="337">
        <v>226.7</v>
      </c>
      <c r="E93" s="170">
        <v>108.7</v>
      </c>
      <c r="F93" s="176"/>
      <c r="G93" s="176"/>
      <c r="H93" s="176"/>
      <c r="I93" s="176">
        <v>108.7</v>
      </c>
      <c r="J93" s="176"/>
      <c r="K93" s="176"/>
      <c r="L93" s="176"/>
      <c r="M93" s="176"/>
      <c r="N93" s="176"/>
      <c r="O93" s="176"/>
      <c r="P93" s="176"/>
      <c r="Q93" s="176"/>
      <c r="R93" s="586">
        <f t="shared" si="104"/>
        <v>108.7</v>
      </c>
      <c r="S93" s="335">
        <f t="shared" si="105"/>
        <v>0</v>
      </c>
      <c r="T93" s="335"/>
      <c r="U93" s="335">
        <f t="shared" si="107"/>
        <v>0</v>
      </c>
      <c r="V93" s="335"/>
      <c r="W93" s="335"/>
      <c r="X93" s="335"/>
      <c r="Y93" s="335"/>
      <c r="Z93" s="335"/>
      <c r="AA93" s="335"/>
      <c r="AB93" s="335"/>
      <c r="AC93" s="335"/>
      <c r="AD93" s="335"/>
      <c r="AE93" s="335"/>
      <c r="AF93" s="335"/>
      <c r="AG93" s="335"/>
      <c r="AH93" s="335"/>
      <c r="AI93" s="335"/>
      <c r="AJ93" s="96"/>
      <c r="AK93" s="566"/>
      <c r="AL93" s="566"/>
      <c r="AM93" s="566"/>
      <c r="AN93" s="566"/>
      <c r="AO93" s="566"/>
      <c r="AP93" s="566"/>
      <c r="AQ93" s="566"/>
      <c r="AR93" s="566"/>
      <c r="AS93" s="566"/>
      <c r="AT93" s="566"/>
      <c r="AU93" s="566"/>
      <c r="AV93" s="602">
        <f t="shared" si="106"/>
        <v>0</v>
      </c>
      <c r="AW93" s="337"/>
      <c r="AX93" s="337"/>
      <c r="AY93" s="170"/>
      <c r="AZ93" s="102"/>
      <c r="BA93" s="186"/>
      <c r="BB93" s="186"/>
      <c r="BC93" s="186"/>
      <c r="BD93" s="186"/>
    </row>
    <row r="94" spans="1:56" s="555" customFormat="1" ht="59.25" customHeight="1" outlineLevel="7" x14ac:dyDescent="0.25">
      <c r="A94" s="8" t="s">
        <v>54</v>
      </c>
      <c r="B94" s="9" t="s">
        <v>60</v>
      </c>
      <c r="C94" s="10" t="s">
        <v>59</v>
      </c>
      <c r="D94" s="337">
        <v>11728.2</v>
      </c>
      <c r="E94" s="335">
        <v>3369.3</v>
      </c>
      <c r="F94" s="176"/>
      <c r="G94" s="176"/>
      <c r="H94" s="176"/>
      <c r="I94" s="176"/>
      <c r="J94" s="176"/>
      <c r="K94" s="176">
        <v>3369.3</v>
      </c>
      <c r="L94" s="176"/>
      <c r="M94" s="176"/>
      <c r="N94" s="176"/>
      <c r="O94" s="176"/>
      <c r="P94" s="176"/>
      <c r="Q94" s="176"/>
      <c r="R94" s="586">
        <f t="shared" si="104"/>
        <v>3369.3</v>
      </c>
      <c r="S94" s="335">
        <f t="shared" si="105"/>
        <v>0</v>
      </c>
      <c r="T94" s="335"/>
      <c r="U94" s="335">
        <f t="shared" si="107"/>
        <v>0</v>
      </c>
      <c r="V94" s="335"/>
      <c r="W94" s="335"/>
      <c r="X94" s="335"/>
      <c r="Y94" s="335"/>
      <c r="Z94" s="335"/>
      <c r="AA94" s="335"/>
      <c r="AB94" s="335"/>
      <c r="AC94" s="335"/>
      <c r="AD94" s="335"/>
      <c r="AE94" s="335"/>
      <c r="AF94" s="335"/>
      <c r="AG94" s="335"/>
      <c r="AH94" s="335"/>
      <c r="AI94" s="335"/>
      <c r="AJ94" s="96"/>
      <c r="AK94" s="566"/>
      <c r="AL94" s="566"/>
      <c r="AM94" s="566"/>
      <c r="AN94" s="566"/>
      <c r="AO94" s="566"/>
      <c r="AP94" s="566"/>
      <c r="AQ94" s="566"/>
      <c r="AR94" s="566"/>
      <c r="AS94" s="566"/>
      <c r="AT94" s="566"/>
      <c r="AU94" s="566"/>
      <c r="AV94" s="602">
        <f t="shared" si="106"/>
        <v>0</v>
      </c>
      <c r="AW94" s="337"/>
      <c r="AX94" s="337"/>
      <c r="AY94" s="170"/>
      <c r="AZ94" s="102"/>
      <c r="BA94" s="186"/>
      <c r="BB94" s="186"/>
      <c r="BC94" s="186"/>
      <c r="BD94" s="186"/>
    </row>
    <row r="95" spans="1:56" s="555" customFormat="1" ht="66" customHeight="1" outlineLevel="7" x14ac:dyDescent="0.25">
      <c r="A95" s="8"/>
      <c r="B95" s="177" t="s">
        <v>90</v>
      </c>
      <c r="C95" s="10" t="s">
        <v>89</v>
      </c>
      <c r="D95" s="337">
        <v>3111.1</v>
      </c>
      <c r="E95" s="170">
        <v>3356.4</v>
      </c>
      <c r="F95" s="176"/>
      <c r="G95" s="176"/>
      <c r="H95" s="176"/>
      <c r="I95" s="176"/>
      <c r="J95" s="176"/>
      <c r="K95" s="176"/>
      <c r="L95" s="176"/>
      <c r="M95" s="176">
        <v>3072</v>
      </c>
      <c r="N95" s="176">
        <v>284.39999999999998</v>
      </c>
      <c r="O95" s="176"/>
      <c r="P95" s="176"/>
      <c r="Q95" s="176"/>
      <c r="R95" s="586">
        <f t="shared" si="104"/>
        <v>3356.4</v>
      </c>
      <c r="S95" s="335">
        <f t="shared" si="105"/>
        <v>0</v>
      </c>
      <c r="T95" s="335"/>
      <c r="U95" s="335">
        <f t="shared" si="107"/>
        <v>0</v>
      </c>
      <c r="V95" s="335"/>
      <c r="W95" s="335"/>
      <c r="X95" s="335"/>
      <c r="Y95" s="335"/>
      <c r="Z95" s="335"/>
      <c r="AA95" s="335"/>
      <c r="AB95" s="335"/>
      <c r="AC95" s="335"/>
      <c r="AD95" s="335"/>
      <c r="AE95" s="335"/>
      <c r="AF95" s="335"/>
      <c r="AG95" s="335"/>
      <c r="AH95" s="335"/>
      <c r="AI95" s="335"/>
      <c r="AJ95" s="96"/>
      <c r="AK95" s="566"/>
      <c r="AL95" s="566"/>
      <c r="AM95" s="566"/>
      <c r="AN95" s="566"/>
      <c r="AO95" s="566"/>
      <c r="AP95" s="566"/>
      <c r="AQ95" s="566"/>
      <c r="AR95" s="566"/>
      <c r="AS95" s="566"/>
      <c r="AT95" s="566"/>
      <c r="AU95" s="566"/>
      <c r="AV95" s="602">
        <f t="shared" si="106"/>
        <v>0</v>
      </c>
      <c r="AW95" s="337"/>
      <c r="AX95" s="337"/>
      <c r="AY95" s="170"/>
      <c r="AZ95" s="102"/>
      <c r="BA95" s="186"/>
      <c r="BB95" s="186"/>
      <c r="BC95" s="186"/>
      <c r="BD95" s="186"/>
    </row>
    <row r="96" spans="1:56" s="555" customFormat="1" ht="60" outlineLevel="7" x14ac:dyDescent="0.25">
      <c r="A96" s="8" t="s">
        <v>88</v>
      </c>
      <c r="B96" s="9" t="s">
        <v>94</v>
      </c>
      <c r="C96" s="10" t="s">
        <v>456</v>
      </c>
      <c r="D96" s="337">
        <v>3459.7</v>
      </c>
      <c r="E96" s="170">
        <v>3880.7</v>
      </c>
      <c r="F96" s="176"/>
      <c r="G96" s="176"/>
      <c r="H96" s="176"/>
      <c r="I96" s="176">
        <v>3323.7</v>
      </c>
      <c r="J96" s="176">
        <v>557</v>
      </c>
      <c r="K96" s="176"/>
      <c r="L96" s="176"/>
      <c r="M96" s="176"/>
      <c r="N96" s="176"/>
      <c r="O96" s="176"/>
      <c r="P96" s="176"/>
      <c r="Q96" s="176"/>
      <c r="R96" s="586">
        <f t="shared" si="104"/>
        <v>3880.7</v>
      </c>
      <c r="S96" s="335">
        <f t="shared" si="105"/>
        <v>0</v>
      </c>
      <c r="T96" s="335"/>
      <c r="U96" s="335">
        <f t="shared" si="107"/>
        <v>0</v>
      </c>
      <c r="V96" s="335"/>
      <c r="W96" s="335"/>
      <c r="X96" s="335"/>
      <c r="Y96" s="335"/>
      <c r="Z96" s="335"/>
      <c r="AA96" s="335"/>
      <c r="AB96" s="335"/>
      <c r="AC96" s="335"/>
      <c r="AD96" s="335"/>
      <c r="AE96" s="335"/>
      <c r="AF96" s="335"/>
      <c r="AG96" s="335"/>
      <c r="AH96" s="335"/>
      <c r="AI96" s="335"/>
      <c r="AJ96" s="96"/>
      <c r="AK96" s="566"/>
      <c r="AL96" s="566"/>
      <c r="AM96" s="566"/>
      <c r="AN96" s="566"/>
      <c r="AO96" s="566"/>
      <c r="AP96" s="566"/>
      <c r="AQ96" s="566"/>
      <c r="AR96" s="566"/>
      <c r="AS96" s="566"/>
      <c r="AT96" s="566"/>
      <c r="AU96" s="566"/>
      <c r="AV96" s="602">
        <f t="shared" si="106"/>
        <v>0</v>
      </c>
      <c r="AW96" s="337"/>
      <c r="AX96" s="337"/>
      <c r="AY96" s="170"/>
      <c r="AZ96" s="102"/>
      <c r="BA96" s="186"/>
      <c r="BB96" s="186"/>
      <c r="BC96" s="186"/>
      <c r="BD96" s="186"/>
    </row>
    <row r="97" spans="1:58" s="555" customFormat="1" ht="68.25" customHeight="1" outlineLevel="7" x14ac:dyDescent="0.25">
      <c r="A97" s="8" t="s">
        <v>95</v>
      </c>
      <c r="B97" s="9" t="s">
        <v>65</v>
      </c>
      <c r="C97" s="10" t="s">
        <v>64</v>
      </c>
      <c r="D97" s="337">
        <v>3302.3</v>
      </c>
      <c r="E97" s="170">
        <f>2397+1118.8</f>
        <v>3515.8</v>
      </c>
      <c r="F97" s="176"/>
      <c r="G97" s="176"/>
      <c r="H97" s="176"/>
      <c r="I97" s="176"/>
      <c r="J97" s="176"/>
      <c r="K97" s="176"/>
      <c r="L97" s="176">
        <v>2397</v>
      </c>
      <c r="M97" s="176">
        <v>1024</v>
      </c>
      <c r="N97" s="176">
        <v>94.8</v>
      </c>
      <c r="O97" s="176"/>
      <c r="P97" s="176"/>
      <c r="Q97" s="176"/>
      <c r="R97" s="586">
        <f t="shared" si="104"/>
        <v>3515.8</v>
      </c>
      <c r="S97" s="335">
        <f t="shared" si="105"/>
        <v>0</v>
      </c>
      <c r="T97" s="335"/>
      <c r="U97" s="335">
        <f t="shared" si="107"/>
        <v>0</v>
      </c>
      <c r="V97" s="335"/>
      <c r="W97" s="335"/>
      <c r="X97" s="335"/>
      <c r="Y97" s="335"/>
      <c r="Z97" s="335"/>
      <c r="AA97" s="335"/>
      <c r="AB97" s="335"/>
      <c r="AC97" s="335"/>
      <c r="AD97" s="335"/>
      <c r="AE97" s="335"/>
      <c r="AF97" s="335"/>
      <c r="AG97" s="335"/>
      <c r="AH97" s="335"/>
      <c r="AI97" s="335"/>
      <c r="AJ97" s="96"/>
      <c r="AK97" s="566"/>
      <c r="AL97" s="566"/>
      <c r="AM97" s="566"/>
      <c r="AN97" s="566"/>
      <c r="AO97" s="566"/>
      <c r="AP97" s="566"/>
      <c r="AQ97" s="566"/>
      <c r="AR97" s="566"/>
      <c r="AS97" s="566"/>
      <c r="AT97" s="566"/>
      <c r="AU97" s="566"/>
      <c r="AV97" s="602">
        <f t="shared" si="106"/>
        <v>0</v>
      </c>
      <c r="AW97" s="337"/>
      <c r="AX97" s="337"/>
      <c r="AY97" s="170"/>
      <c r="AZ97" s="102"/>
      <c r="BA97" s="186"/>
      <c r="BB97" s="186"/>
      <c r="BC97" s="186"/>
      <c r="BD97" s="186"/>
    </row>
    <row r="98" spans="1:58" s="555" customFormat="1" ht="56.25" customHeight="1" outlineLevel="7" x14ac:dyDescent="0.25">
      <c r="A98" s="8" t="s">
        <v>95</v>
      </c>
      <c r="B98" s="9" t="s">
        <v>67</v>
      </c>
      <c r="C98" s="10" t="s">
        <v>66</v>
      </c>
      <c r="D98" s="337">
        <v>3010.2</v>
      </c>
      <c r="E98" s="170">
        <v>2978.3</v>
      </c>
      <c r="F98" s="176"/>
      <c r="G98" s="176"/>
      <c r="H98" s="176"/>
      <c r="I98" s="176"/>
      <c r="J98" s="176"/>
      <c r="K98" s="176"/>
      <c r="L98" s="176"/>
      <c r="M98" s="176">
        <v>2953.6</v>
      </c>
      <c r="N98" s="176"/>
      <c r="O98" s="176">
        <v>24.7</v>
      </c>
      <c r="P98" s="176"/>
      <c r="Q98" s="176"/>
      <c r="R98" s="586">
        <f t="shared" si="104"/>
        <v>2978.2999999999997</v>
      </c>
      <c r="S98" s="335">
        <f t="shared" si="105"/>
        <v>0</v>
      </c>
      <c r="T98" s="335"/>
      <c r="U98" s="335">
        <f t="shared" si="107"/>
        <v>0</v>
      </c>
      <c r="V98" s="335"/>
      <c r="W98" s="335"/>
      <c r="X98" s="335"/>
      <c r="Y98" s="335"/>
      <c r="Z98" s="335"/>
      <c r="AA98" s="335"/>
      <c r="AB98" s="335"/>
      <c r="AC98" s="335"/>
      <c r="AD98" s="335"/>
      <c r="AE98" s="335"/>
      <c r="AF98" s="335"/>
      <c r="AG98" s="335"/>
      <c r="AH98" s="335"/>
      <c r="AI98" s="335"/>
      <c r="AJ98" s="96"/>
      <c r="AK98" s="566"/>
      <c r="AL98" s="566"/>
      <c r="AM98" s="566"/>
      <c r="AN98" s="566"/>
      <c r="AO98" s="566"/>
      <c r="AP98" s="566"/>
      <c r="AQ98" s="566"/>
      <c r="AR98" s="566"/>
      <c r="AS98" s="566"/>
      <c r="AT98" s="566"/>
      <c r="AU98" s="566"/>
      <c r="AV98" s="602">
        <f t="shared" si="106"/>
        <v>0</v>
      </c>
      <c r="AW98" s="337"/>
      <c r="AX98" s="337"/>
      <c r="AY98" s="170"/>
      <c r="AZ98" s="102"/>
      <c r="BA98" s="186"/>
      <c r="BB98" s="186"/>
      <c r="BC98" s="186"/>
      <c r="BD98" s="186"/>
    </row>
    <row r="99" spans="1:58" s="555" customFormat="1" ht="46.5" customHeight="1" outlineLevel="7" x14ac:dyDescent="0.25">
      <c r="A99" s="8"/>
      <c r="B99" s="180" t="s">
        <v>472</v>
      </c>
      <c r="C99" s="10" t="s">
        <v>480</v>
      </c>
      <c r="D99" s="337">
        <v>802.5</v>
      </c>
      <c r="E99" s="170">
        <v>171.9</v>
      </c>
      <c r="F99" s="176"/>
      <c r="G99" s="176"/>
      <c r="H99" s="176"/>
      <c r="I99" s="176"/>
      <c r="J99" s="176"/>
      <c r="K99" s="176"/>
      <c r="L99" s="176"/>
      <c r="M99" s="176">
        <v>171.9</v>
      </c>
      <c r="N99" s="176"/>
      <c r="O99" s="176"/>
      <c r="P99" s="176"/>
      <c r="Q99" s="176"/>
      <c r="R99" s="586">
        <f t="shared" si="104"/>
        <v>171.9</v>
      </c>
      <c r="S99" s="335">
        <f t="shared" si="105"/>
        <v>0</v>
      </c>
      <c r="T99" s="335"/>
      <c r="U99" s="335">
        <f t="shared" si="107"/>
        <v>0</v>
      </c>
      <c r="V99" s="335"/>
      <c r="W99" s="335"/>
      <c r="X99" s="335"/>
      <c r="Y99" s="335"/>
      <c r="Z99" s="335"/>
      <c r="AA99" s="335"/>
      <c r="AB99" s="335"/>
      <c r="AC99" s="335"/>
      <c r="AD99" s="335"/>
      <c r="AE99" s="335"/>
      <c r="AF99" s="335"/>
      <c r="AG99" s="335"/>
      <c r="AH99" s="335"/>
      <c r="AI99" s="335"/>
      <c r="AJ99" s="96"/>
      <c r="AK99" s="566"/>
      <c r="AL99" s="566"/>
      <c r="AM99" s="566"/>
      <c r="AN99" s="566"/>
      <c r="AO99" s="566"/>
      <c r="AP99" s="566"/>
      <c r="AQ99" s="566"/>
      <c r="AR99" s="566"/>
      <c r="AS99" s="566"/>
      <c r="AT99" s="566"/>
      <c r="AU99" s="566"/>
      <c r="AV99" s="602">
        <f t="shared" si="106"/>
        <v>0</v>
      </c>
      <c r="AW99" s="337"/>
      <c r="AX99" s="337"/>
      <c r="AY99" s="170"/>
      <c r="AZ99" s="102"/>
      <c r="BA99" s="186"/>
      <c r="BB99" s="186"/>
      <c r="BC99" s="186"/>
      <c r="BD99" s="186"/>
    </row>
    <row r="100" spans="1:58" s="555" customFormat="1" ht="60" outlineLevel="7" x14ac:dyDescent="0.25">
      <c r="A100" s="8" t="s">
        <v>95</v>
      </c>
      <c r="B100" s="180" t="s">
        <v>135</v>
      </c>
      <c r="C100" s="10" t="s">
        <v>457</v>
      </c>
      <c r="D100" s="337">
        <v>4520.1000000000004</v>
      </c>
      <c r="E100" s="170">
        <v>3462.9</v>
      </c>
      <c r="F100" s="176"/>
      <c r="G100" s="176"/>
      <c r="H100" s="176"/>
      <c r="I100" s="176">
        <v>3277.3</v>
      </c>
      <c r="J100" s="176">
        <v>185.7</v>
      </c>
      <c r="K100" s="176"/>
      <c r="L100" s="176"/>
      <c r="M100" s="176"/>
      <c r="N100" s="176"/>
      <c r="O100" s="176"/>
      <c r="P100" s="176"/>
      <c r="Q100" s="176"/>
      <c r="R100" s="586">
        <v>3462.9</v>
      </c>
      <c r="S100" s="335">
        <f t="shared" si="105"/>
        <v>0</v>
      </c>
      <c r="T100" s="335"/>
      <c r="U100" s="335">
        <f t="shared" si="107"/>
        <v>0</v>
      </c>
      <c r="V100" s="335"/>
      <c r="W100" s="335"/>
      <c r="X100" s="335"/>
      <c r="Y100" s="335"/>
      <c r="Z100" s="335"/>
      <c r="AA100" s="335"/>
      <c r="AB100" s="335"/>
      <c r="AC100" s="335"/>
      <c r="AD100" s="335"/>
      <c r="AE100" s="335"/>
      <c r="AF100" s="335"/>
      <c r="AG100" s="335"/>
      <c r="AH100" s="335"/>
      <c r="AI100" s="335"/>
      <c r="AJ100" s="96"/>
      <c r="AK100" s="566"/>
      <c r="AL100" s="566"/>
      <c r="AM100" s="566"/>
      <c r="AN100" s="566"/>
      <c r="AO100" s="566"/>
      <c r="AP100" s="566"/>
      <c r="AQ100" s="566"/>
      <c r="AR100" s="566"/>
      <c r="AS100" s="566"/>
      <c r="AT100" s="566"/>
      <c r="AU100" s="566"/>
      <c r="AV100" s="602">
        <f t="shared" si="106"/>
        <v>0</v>
      </c>
      <c r="AW100" s="337"/>
      <c r="AX100" s="337"/>
      <c r="AY100" s="170"/>
      <c r="AZ100" s="102"/>
      <c r="BA100" s="186"/>
      <c r="BB100" s="186"/>
      <c r="BC100" s="186"/>
      <c r="BD100" s="186"/>
    </row>
    <row r="101" spans="1:58" s="555" customFormat="1" ht="86.25" customHeight="1" outlineLevel="7" x14ac:dyDescent="0.25">
      <c r="A101" s="8"/>
      <c r="B101" s="2" t="s">
        <v>458</v>
      </c>
      <c r="C101" s="10" t="s">
        <v>87</v>
      </c>
      <c r="D101" s="337">
        <v>9080.7999999999993</v>
      </c>
      <c r="E101" s="170">
        <v>2088.9</v>
      </c>
      <c r="F101" s="176"/>
      <c r="G101" s="176"/>
      <c r="H101" s="176"/>
      <c r="I101" s="176"/>
      <c r="J101" s="176">
        <v>2088.9</v>
      </c>
      <c r="K101" s="176"/>
      <c r="L101" s="176"/>
      <c r="M101" s="176"/>
      <c r="N101" s="176"/>
      <c r="O101" s="176"/>
      <c r="P101" s="176"/>
      <c r="Q101" s="176"/>
      <c r="R101" s="586">
        <f>SUM(F101:Q101)</f>
        <v>2088.9</v>
      </c>
      <c r="S101" s="335">
        <f t="shared" si="105"/>
        <v>0</v>
      </c>
      <c r="T101" s="335"/>
      <c r="U101" s="335">
        <f t="shared" si="107"/>
        <v>0</v>
      </c>
      <c r="V101" s="335"/>
      <c r="W101" s="335"/>
      <c r="X101" s="335"/>
      <c r="Y101" s="335"/>
      <c r="Z101" s="335"/>
      <c r="AA101" s="335"/>
      <c r="AB101" s="335"/>
      <c r="AC101" s="335"/>
      <c r="AD101" s="335"/>
      <c r="AE101" s="335"/>
      <c r="AF101" s="335"/>
      <c r="AG101" s="335"/>
      <c r="AH101" s="335"/>
      <c r="AI101" s="335"/>
      <c r="AJ101" s="96"/>
      <c r="AK101" s="566"/>
      <c r="AL101" s="566"/>
      <c r="AM101" s="566"/>
      <c r="AN101" s="566"/>
      <c r="AO101" s="566"/>
      <c r="AP101" s="566"/>
      <c r="AQ101" s="566"/>
      <c r="AR101" s="566"/>
      <c r="AS101" s="566"/>
      <c r="AT101" s="566"/>
      <c r="AU101" s="566"/>
      <c r="AV101" s="602">
        <f t="shared" si="106"/>
        <v>0</v>
      </c>
      <c r="AW101" s="337"/>
      <c r="AX101" s="337"/>
      <c r="AY101" s="170"/>
      <c r="AZ101" s="102"/>
      <c r="BA101" s="186"/>
      <c r="BB101" s="186"/>
      <c r="BC101" s="186"/>
      <c r="BD101" s="186"/>
    </row>
    <row r="102" spans="1:58" s="555" customFormat="1" ht="70.5" customHeight="1" outlineLevel="7" x14ac:dyDescent="0.25">
      <c r="A102" s="8"/>
      <c r="B102" s="292" t="s">
        <v>355</v>
      </c>
      <c r="C102" s="247" t="s">
        <v>282</v>
      </c>
      <c r="D102" s="337">
        <v>1244.9000000000001</v>
      </c>
      <c r="E102" s="170">
        <f>2314.9-20.2</f>
        <v>2294.7000000000003</v>
      </c>
      <c r="F102" s="253"/>
      <c r="G102" s="253"/>
      <c r="H102" s="253">
        <v>965.1</v>
      </c>
      <c r="I102" s="253"/>
      <c r="J102" s="253"/>
      <c r="K102" s="253">
        <v>722.5</v>
      </c>
      <c r="L102" s="253"/>
      <c r="M102" s="253"/>
      <c r="N102" s="253"/>
      <c r="O102" s="253">
        <v>11.6</v>
      </c>
      <c r="P102" s="253"/>
      <c r="Q102" s="253">
        <v>595.5</v>
      </c>
      <c r="R102" s="586">
        <f t="shared" si="103"/>
        <v>2294.6999999999998</v>
      </c>
      <c r="S102" s="335">
        <f t="shared" si="95"/>
        <v>0</v>
      </c>
      <c r="T102" s="335"/>
      <c r="U102" s="335"/>
      <c r="V102" s="335"/>
      <c r="W102" s="335"/>
      <c r="X102" s="335"/>
      <c r="Y102" s="335"/>
      <c r="Z102" s="335"/>
      <c r="AA102" s="335"/>
      <c r="AB102" s="335"/>
      <c r="AC102" s="335"/>
      <c r="AD102" s="335"/>
      <c r="AE102" s="335"/>
      <c r="AF102" s="335"/>
      <c r="AG102" s="335"/>
      <c r="AH102" s="335"/>
      <c r="AI102" s="335"/>
      <c r="AJ102" s="96"/>
      <c r="AK102" s="566"/>
      <c r="AL102" s="566"/>
      <c r="AM102" s="566"/>
      <c r="AN102" s="566"/>
      <c r="AO102" s="566"/>
      <c r="AP102" s="566"/>
      <c r="AQ102" s="566"/>
      <c r="AR102" s="566"/>
      <c r="AS102" s="566"/>
      <c r="AT102" s="566"/>
      <c r="AU102" s="566"/>
      <c r="AV102" s="602">
        <f t="shared" si="96"/>
        <v>0</v>
      </c>
      <c r="AW102" s="337"/>
      <c r="AX102" s="337"/>
      <c r="AY102" s="170"/>
      <c r="AZ102" s="102"/>
      <c r="BA102" s="186"/>
      <c r="BB102" s="186"/>
      <c r="BC102" s="186"/>
      <c r="BD102" s="186"/>
    </row>
    <row r="103" spans="1:58" s="555" customFormat="1" ht="66.75" customHeight="1" outlineLevel="7" x14ac:dyDescent="0.25">
      <c r="A103" s="8"/>
      <c r="B103" s="21" t="s">
        <v>354</v>
      </c>
      <c r="C103" s="291" t="s">
        <v>336</v>
      </c>
      <c r="D103" s="337">
        <v>3734.5</v>
      </c>
      <c r="E103" s="170">
        <f>6944.8-60.7</f>
        <v>6884.1</v>
      </c>
      <c r="F103" s="176"/>
      <c r="G103" s="176"/>
      <c r="H103" s="176">
        <v>2895.3</v>
      </c>
      <c r="I103" s="176"/>
      <c r="J103" s="176"/>
      <c r="K103" s="176">
        <v>2167.4</v>
      </c>
      <c r="L103" s="176"/>
      <c r="M103" s="176"/>
      <c r="N103" s="176"/>
      <c r="O103" s="176">
        <v>35</v>
      </c>
      <c r="P103" s="176"/>
      <c r="Q103" s="176">
        <v>1786.4</v>
      </c>
      <c r="R103" s="586">
        <f t="shared" si="103"/>
        <v>6884.1</v>
      </c>
      <c r="S103" s="335">
        <f t="shared" si="95"/>
        <v>0</v>
      </c>
      <c r="T103" s="335"/>
      <c r="U103" s="335">
        <f t="shared" si="97"/>
        <v>0</v>
      </c>
      <c r="V103" s="335"/>
      <c r="W103" s="335"/>
      <c r="X103" s="335"/>
      <c r="Y103" s="335"/>
      <c r="Z103" s="335"/>
      <c r="AA103" s="335"/>
      <c r="AB103" s="335"/>
      <c r="AC103" s="335"/>
      <c r="AD103" s="335"/>
      <c r="AE103" s="335"/>
      <c r="AF103" s="335"/>
      <c r="AG103" s="335"/>
      <c r="AH103" s="335"/>
      <c r="AI103" s="335"/>
      <c r="AJ103" s="96"/>
      <c r="AK103" s="566"/>
      <c r="AL103" s="566"/>
      <c r="AM103" s="566"/>
      <c r="AN103" s="566"/>
      <c r="AO103" s="566"/>
      <c r="AP103" s="566"/>
      <c r="AQ103" s="566"/>
      <c r="AR103" s="566"/>
      <c r="AS103" s="566"/>
      <c r="AT103" s="566"/>
      <c r="AU103" s="566"/>
      <c r="AV103" s="602">
        <f t="shared" si="96"/>
        <v>0</v>
      </c>
      <c r="AW103" s="337"/>
      <c r="AX103" s="337"/>
      <c r="AY103" s="170"/>
      <c r="AZ103" s="102"/>
      <c r="BA103" s="186"/>
      <c r="BB103" s="186"/>
      <c r="BC103" s="186"/>
      <c r="BD103" s="186"/>
    </row>
    <row r="104" spans="1:58" s="555" customFormat="1" ht="71.25" customHeight="1" outlineLevel="7" x14ac:dyDescent="0.25">
      <c r="A104" s="8"/>
      <c r="B104" s="2" t="s">
        <v>681</v>
      </c>
      <c r="C104" s="10" t="s">
        <v>591</v>
      </c>
      <c r="D104" s="337"/>
      <c r="E104" s="170">
        <v>4629.3999999999996</v>
      </c>
      <c r="F104" s="176"/>
      <c r="G104" s="176"/>
      <c r="H104" s="176"/>
      <c r="I104" s="176"/>
      <c r="J104" s="176"/>
      <c r="K104" s="176"/>
      <c r="L104" s="176"/>
      <c r="M104" s="176">
        <v>4629.3</v>
      </c>
      <c r="N104" s="176"/>
      <c r="O104" s="176"/>
      <c r="P104" s="176"/>
      <c r="Q104" s="176">
        <v>0.1</v>
      </c>
      <c r="R104" s="586">
        <f t="shared" si="103"/>
        <v>4629.4000000000005</v>
      </c>
      <c r="S104" s="335">
        <f t="shared" si="95"/>
        <v>0</v>
      </c>
      <c r="T104" s="335"/>
      <c r="U104" s="335">
        <f t="shared" si="97"/>
        <v>0</v>
      </c>
      <c r="V104" s="335"/>
      <c r="W104" s="335"/>
      <c r="X104" s="335"/>
      <c r="Y104" s="335"/>
      <c r="Z104" s="335"/>
      <c r="AA104" s="335"/>
      <c r="AB104" s="335"/>
      <c r="AC104" s="335"/>
      <c r="AD104" s="335"/>
      <c r="AE104" s="335"/>
      <c r="AF104" s="335"/>
      <c r="AG104" s="335"/>
      <c r="AH104" s="335"/>
      <c r="AI104" s="335"/>
      <c r="AJ104" s="96"/>
      <c r="AK104" s="566"/>
      <c r="AL104" s="566"/>
      <c r="AM104" s="566"/>
      <c r="AN104" s="566"/>
      <c r="AO104" s="566"/>
      <c r="AP104" s="566"/>
      <c r="AQ104" s="566"/>
      <c r="AR104" s="566"/>
      <c r="AS104" s="566"/>
      <c r="AT104" s="566"/>
      <c r="AU104" s="566"/>
      <c r="AV104" s="602">
        <f t="shared" si="96"/>
        <v>0</v>
      </c>
      <c r="AW104" s="337"/>
      <c r="AX104" s="337"/>
      <c r="AY104" s="170"/>
      <c r="AZ104" s="102"/>
      <c r="BA104" s="186"/>
      <c r="BB104" s="186"/>
      <c r="BC104" s="186"/>
      <c r="BD104" s="186"/>
    </row>
    <row r="105" spans="1:58" s="555" customFormat="1" ht="21.75" customHeight="1" outlineLevel="7" x14ac:dyDescent="0.25">
      <c r="A105" s="8"/>
      <c r="B105" s="593" t="s">
        <v>143</v>
      </c>
      <c r="C105" s="594"/>
      <c r="D105" s="595" t="e">
        <f>D106+D111+D107+D108+D113+#REF!+D114+D109+D110+#REF!</f>
        <v>#REF!</v>
      </c>
      <c r="E105" s="595" t="e">
        <f>E106+E111+E107+E108+E113+#REF!+E114+E109+E110+#REF!+E112</f>
        <v>#REF!</v>
      </c>
      <c r="F105" s="595" t="e">
        <f>F106+F111+F107+F108+F113+#REF!+F114+F109+F110+#REF!+F112</f>
        <v>#REF!</v>
      </c>
      <c r="G105" s="595" t="e">
        <f>G106+G111+G107+G108+G113+#REF!+G114+G109+G110+#REF!+G112</f>
        <v>#REF!</v>
      </c>
      <c r="H105" s="595" t="e">
        <f>H106+H111+H107+H108+H113+#REF!+H114+H109+H110+#REF!+H112</f>
        <v>#REF!</v>
      </c>
      <c r="I105" s="595" t="e">
        <f>I106+I111+I107+I108+I113+#REF!+I114+I109+I110+#REF!+I112</f>
        <v>#REF!</v>
      </c>
      <c r="J105" s="595" t="e">
        <f>J106+J111+J107+J108+J113+#REF!+J114+J109+J110+#REF!+J112</f>
        <v>#REF!</v>
      </c>
      <c r="K105" s="595" t="e">
        <f>K106+K111+K107+K108+K113+#REF!+K114+K109+K110+#REF!+K112</f>
        <v>#REF!</v>
      </c>
      <c r="L105" s="595" t="e">
        <f>L106+L111+L107+L108+L113+#REF!+L114+L109+L110+#REF!+L112</f>
        <v>#REF!</v>
      </c>
      <c r="M105" s="595" t="e">
        <f>M106+M111+M107+M108+M113+#REF!+M114+M109+M110+#REF!+M112</f>
        <v>#REF!</v>
      </c>
      <c r="N105" s="595" t="e">
        <f>N106+N111+N107+N108+N113+#REF!+N114+N109+N110+#REF!+N112</f>
        <v>#REF!</v>
      </c>
      <c r="O105" s="595" t="e">
        <f>O106+O111+O107+O108+O113+#REF!+O114+O109+O110+#REF!+O112</f>
        <v>#REF!</v>
      </c>
      <c r="P105" s="595" t="e">
        <f>P106+P111+P107+P108+P113+#REF!+P114+P109+P110+#REF!+P112</f>
        <v>#REF!</v>
      </c>
      <c r="Q105" s="595" t="e">
        <f>Q106+Q111+Q107+Q108+Q113+#REF!+Q114+Q109+Q110+#REF!+Q112</f>
        <v>#REF!</v>
      </c>
      <c r="R105" s="595">
        <f>R106+R111+R107+R108+R113+R114+R109+R110+R112</f>
        <v>45082.5</v>
      </c>
      <c r="S105" s="595">
        <f t="shared" ref="S105:AX105" si="108">S106+S111+S107+S108+S113+S114+S109+S110+S112</f>
        <v>9715</v>
      </c>
      <c r="T105" s="595">
        <f t="shared" si="108"/>
        <v>1547.8000000000002</v>
      </c>
      <c r="U105" s="595">
        <f t="shared" si="108"/>
        <v>1600.8</v>
      </c>
      <c r="V105" s="595">
        <f t="shared" si="108"/>
        <v>0</v>
      </c>
      <c r="W105" s="595">
        <f t="shared" si="108"/>
        <v>0</v>
      </c>
      <c r="X105" s="595">
        <f t="shared" si="108"/>
        <v>0</v>
      </c>
      <c r="Y105" s="595">
        <f t="shared" si="108"/>
        <v>0</v>
      </c>
      <c r="Z105" s="595">
        <f t="shared" si="108"/>
        <v>0</v>
      </c>
      <c r="AA105" s="595">
        <f t="shared" si="108"/>
        <v>0</v>
      </c>
      <c r="AB105" s="595">
        <f t="shared" si="108"/>
        <v>0</v>
      </c>
      <c r="AC105" s="595">
        <f t="shared" si="108"/>
        <v>0</v>
      </c>
      <c r="AD105" s="595">
        <f t="shared" si="108"/>
        <v>0</v>
      </c>
      <c r="AE105" s="595">
        <f t="shared" si="108"/>
        <v>0</v>
      </c>
      <c r="AF105" s="595">
        <f t="shared" si="108"/>
        <v>0</v>
      </c>
      <c r="AG105" s="595">
        <f t="shared" si="108"/>
        <v>0</v>
      </c>
      <c r="AH105" s="595">
        <f t="shared" si="108"/>
        <v>0</v>
      </c>
      <c r="AI105" s="595">
        <f t="shared" si="108"/>
        <v>0</v>
      </c>
      <c r="AJ105" s="595">
        <f t="shared" si="108"/>
        <v>0</v>
      </c>
      <c r="AK105" s="595">
        <f t="shared" si="108"/>
        <v>0</v>
      </c>
      <c r="AL105" s="595">
        <f t="shared" si="108"/>
        <v>0</v>
      </c>
      <c r="AM105" s="595">
        <f t="shared" si="108"/>
        <v>0</v>
      </c>
      <c r="AN105" s="595">
        <f t="shared" si="108"/>
        <v>0</v>
      </c>
      <c r="AO105" s="595">
        <f t="shared" si="108"/>
        <v>0</v>
      </c>
      <c r="AP105" s="595">
        <f t="shared" si="108"/>
        <v>0</v>
      </c>
      <c r="AQ105" s="595">
        <f t="shared" si="108"/>
        <v>0</v>
      </c>
      <c r="AR105" s="595">
        <f t="shared" si="108"/>
        <v>0</v>
      </c>
      <c r="AS105" s="595">
        <f t="shared" si="108"/>
        <v>0</v>
      </c>
      <c r="AT105" s="595">
        <f t="shared" si="108"/>
        <v>0</v>
      </c>
      <c r="AU105" s="595">
        <f t="shared" si="108"/>
        <v>0</v>
      </c>
      <c r="AV105" s="595">
        <f t="shared" si="108"/>
        <v>0</v>
      </c>
      <c r="AW105" s="595">
        <f t="shared" si="108"/>
        <v>0</v>
      </c>
      <c r="AX105" s="595">
        <f t="shared" si="108"/>
        <v>0</v>
      </c>
      <c r="AY105" s="169"/>
      <c r="AZ105" s="338"/>
      <c r="BA105" s="187"/>
      <c r="BB105" s="338"/>
      <c r="BC105" s="187"/>
      <c r="BD105" s="187"/>
      <c r="BF105" s="72"/>
    </row>
    <row r="106" spans="1:58" s="19" customFormat="1" ht="63" customHeight="1" outlineLevel="7" x14ac:dyDescent="0.25">
      <c r="A106" s="18"/>
      <c r="B106" s="9" t="s">
        <v>332</v>
      </c>
      <c r="C106" s="20" t="s">
        <v>275</v>
      </c>
      <c r="D106" s="337"/>
      <c r="E106" s="170">
        <v>1556</v>
      </c>
      <c r="F106" s="176"/>
      <c r="G106" s="176"/>
      <c r="H106" s="176"/>
      <c r="I106" s="176"/>
      <c r="J106" s="176"/>
      <c r="K106" s="176">
        <v>980.6</v>
      </c>
      <c r="L106" s="176"/>
      <c r="M106" s="176">
        <v>93</v>
      </c>
      <c r="N106" s="176">
        <v>135</v>
      </c>
      <c r="O106" s="176">
        <v>135</v>
      </c>
      <c r="P106" s="176">
        <v>135</v>
      </c>
      <c r="Q106" s="176">
        <v>77.400000000000006</v>
      </c>
      <c r="R106" s="586">
        <f t="shared" ref="R106:R115" si="109">SUM(F106:Q106)</f>
        <v>1556</v>
      </c>
      <c r="S106" s="335">
        <f t="shared" si="95"/>
        <v>0</v>
      </c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566"/>
      <c r="AK106" s="566"/>
      <c r="AL106" s="566"/>
      <c r="AM106" s="566"/>
      <c r="AN106" s="566"/>
      <c r="AO106" s="566"/>
      <c r="AP106" s="566"/>
      <c r="AQ106" s="566"/>
      <c r="AR106" s="566"/>
      <c r="AS106" s="566"/>
      <c r="AT106" s="566"/>
      <c r="AU106" s="566"/>
      <c r="AV106" s="602">
        <f t="shared" si="96"/>
        <v>0</v>
      </c>
      <c r="AW106" s="337"/>
      <c r="AX106" s="337"/>
      <c r="AY106" s="170"/>
      <c r="AZ106" s="102"/>
      <c r="BA106" s="186"/>
      <c r="BB106" s="186"/>
      <c r="BC106" s="186"/>
      <c r="BD106" s="186"/>
      <c r="BF106" s="204"/>
    </row>
    <row r="107" spans="1:58" s="19" customFormat="1" ht="79.5" customHeight="1" outlineLevel="7" x14ac:dyDescent="0.25">
      <c r="A107" s="18"/>
      <c r="B107" s="228" t="s">
        <v>376</v>
      </c>
      <c r="C107" s="20" t="s">
        <v>363</v>
      </c>
      <c r="D107" s="337"/>
      <c r="E107" s="170">
        <v>1541.7</v>
      </c>
      <c r="F107" s="176"/>
      <c r="G107" s="176">
        <v>268.39999999999998</v>
      </c>
      <c r="H107" s="176">
        <f>135.2-5.4</f>
        <v>129.79999999999998</v>
      </c>
      <c r="I107" s="176">
        <v>129.80000000000001</v>
      </c>
      <c r="J107" s="176">
        <v>435.6</v>
      </c>
      <c r="K107" s="176"/>
      <c r="L107" s="176">
        <v>44</v>
      </c>
      <c r="M107" s="176">
        <v>44</v>
      </c>
      <c r="N107" s="176">
        <v>129.80000000000001</v>
      </c>
      <c r="O107" s="176">
        <v>129.80000000000001</v>
      </c>
      <c r="P107" s="176">
        <v>129.80000000000001</v>
      </c>
      <c r="Q107" s="176">
        <v>100.7</v>
      </c>
      <c r="R107" s="586">
        <f>SUM(F107:Q107)</f>
        <v>1541.6999999999998</v>
      </c>
      <c r="S107" s="335">
        <f>F107</f>
        <v>0</v>
      </c>
      <c r="T107" s="337">
        <v>1454.9</v>
      </c>
      <c r="U107" s="337">
        <v>1504.7</v>
      </c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566"/>
      <c r="AK107" s="566"/>
      <c r="AL107" s="566"/>
      <c r="AM107" s="566"/>
      <c r="AN107" s="566"/>
      <c r="AO107" s="566"/>
      <c r="AP107" s="566"/>
      <c r="AQ107" s="566"/>
      <c r="AR107" s="566"/>
      <c r="AS107" s="566"/>
      <c r="AT107" s="566"/>
      <c r="AU107" s="566"/>
      <c r="AV107" s="602">
        <f>AU107+AT107+AS107+AR107+AQ107+AP107+AO107+AN107+AM107+AL107+AK107+AJ107</f>
        <v>0</v>
      </c>
      <c r="AW107" s="337"/>
      <c r="AX107" s="337"/>
      <c r="AY107" s="170"/>
      <c r="AZ107" s="102"/>
      <c r="BA107" s="186"/>
      <c r="BB107" s="186"/>
      <c r="BC107" s="186"/>
      <c r="BD107" s="186"/>
      <c r="BF107" s="204"/>
    </row>
    <row r="108" spans="1:58" s="19" customFormat="1" ht="81" customHeight="1" outlineLevel="7" x14ac:dyDescent="0.25">
      <c r="A108" s="18"/>
      <c r="B108" s="229" t="s">
        <v>375</v>
      </c>
      <c r="C108" s="20" t="s">
        <v>362</v>
      </c>
      <c r="D108" s="337">
        <v>64</v>
      </c>
      <c r="E108" s="170">
        <v>64.2</v>
      </c>
      <c r="F108" s="176"/>
      <c r="G108" s="176">
        <v>11.2</v>
      </c>
      <c r="H108" s="176">
        <v>5.4</v>
      </c>
      <c r="I108" s="176">
        <v>5.4</v>
      </c>
      <c r="J108" s="176">
        <v>18.100000000000001</v>
      </c>
      <c r="K108" s="176"/>
      <c r="L108" s="176">
        <v>1.8</v>
      </c>
      <c r="M108" s="176">
        <v>1.9</v>
      </c>
      <c r="N108" s="176">
        <v>5.4</v>
      </c>
      <c r="O108" s="176">
        <v>5.4</v>
      </c>
      <c r="P108" s="176">
        <v>5.4</v>
      </c>
      <c r="Q108" s="176">
        <v>4.2</v>
      </c>
      <c r="R108" s="586">
        <f>SUM(F108:Q108)</f>
        <v>64.199999999999989</v>
      </c>
      <c r="S108" s="335">
        <f>F108</f>
        <v>0</v>
      </c>
      <c r="T108" s="337">
        <v>92.9</v>
      </c>
      <c r="U108" s="337">
        <v>96.1</v>
      </c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566"/>
      <c r="AK108" s="566"/>
      <c r="AL108" s="566"/>
      <c r="AM108" s="566"/>
      <c r="AN108" s="566"/>
      <c r="AO108" s="566"/>
      <c r="AP108" s="566"/>
      <c r="AQ108" s="566"/>
      <c r="AR108" s="566"/>
      <c r="AS108" s="566"/>
      <c r="AT108" s="566"/>
      <c r="AU108" s="566"/>
      <c r="AV108" s="602">
        <f>AU108+AT108+AS108+AR108+AQ108+AP108+AO108+AN108+AM108+AL108+AK108+AJ108</f>
        <v>0</v>
      </c>
      <c r="AW108" s="337"/>
      <c r="AX108" s="337"/>
      <c r="AY108" s="170"/>
      <c r="AZ108" s="102"/>
      <c r="BA108" s="186"/>
      <c r="BB108" s="186"/>
      <c r="BC108" s="186"/>
      <c r="BD108" s="186"/>
      <c r="BF108" s="204"/>
    </row>
    <row r="109" spans="1:58" s="19" customFormat="1" ht="23.25" customHeight="1" outlineLevel="7" x14ac:dyDescent="0.25">
      <c r="A109" s="18"/>
      <c r="B109" s="133" t="s">
        <v>229</v>
      </c>
      <c r="C109" s="20" t="s">
        <v>230</v>
      </c>
      <c r="D109" s="337"/>
      <c r="E109" s="170">
        <f>27342.5+9715</f>
        <v>37057.5</v>
      </c>
      <c r="F109" s="176">
        <v>9715</v>
      </c>
      <c r="G109" s="176"/>
      <c r="H109" s="176"/>
      <c r="I109" s="176"/>
      <c r="J109" s="176"/>
      <c r="K109" s="176"/>
      <c r="L109" s="176"/>
      <c r="M109" s="176"/>
      <c r="N109" s="176">
        <v>11700</v>
      </c>
      <c r="O109" s="176">
        <v>3642.5</v>
      </c>
      <c r="P109" s="176">
        <v>12000</v>
      </c>
      <c r="Q109" s="176"/>
      <c r="R109" s="586">
        <f>SUM(F109:Q109)</f>
        <v>37057.5</v>
      </c>
      <c r="S109" s="335">
        <f>F109</f>
        <v>9715</v>
      </c>
      <c r="T109" s="337"/>
      <c r="U109" s="337">
        <f>T109</f>
        <v>0</v>
      </c>
      <c r="V109" s="337"/>
      <c r="W109" s="337"/>
      <c r="X109" s="337"/>
      <c r="Y109" s="337"/>
      <c r="Z109" s="337"/>
      <c r="AA109" s="337"/>
      <c r="AB109" s="337"/>
      <c r="AC109" s="337"/>
      <c r="AD109" s="337"/>
      <c r="AE109" s="337"/>
      <c r="AF109" s="337"/>
      <c r="AG109" s="337"/>
      <c r="AH109" s="337"/>
      <c r="AI109" s="337"/>
      <c r="AJ109" s="566"/>
      <c r="AK109" s="566"/>
      <c r="AL109" s="566"/>
      <c r="AM109" s="566"/>
      <c r="AN109" s="566"/>
      <c r="AO109" s="566"/>
      <c r="AP109" s="566"/>
      <c r="AQ109" s="566"/>
      <c r="AR109" s="566"/>
      <c r="AS109" s="566"/>
      <c r="AT109" s="566"/>
      <c r="AU109" s="566"/>
      <c r="AV109" s="602">
        <f>AU109+AT109+AS109+AR109+AQ109+AP109+AO109+AN109+AM109+AL109+AK109+AJ109</f>
        <v>0</v>
      </c>
      <c r="AW109" s="337"/>
      <c r="AX109" s="337"/>
      <c r="AY109" s="170"/>
      <c r="AZ109" s="102"/>
      <c r="BA109" s="186"/>
      <c r="BB109" s="186"/>
      <c r="BC109" s="186"/>
      <c r="BD109" s="186"/>
      <c r="BF109" s="204"/>
    </row>
    <row r="110" spans="1:58" s="19" customFormat="1" ht="22.5" customHeight="1" outlineLevel="7" x14ac:dyDescent="0.25">
      <c r="A110" s="18"/>
      <c r="B110" s="133" t="s">
        <v>205</v>
      </c>
      <c r="C110" s="20" t="s">
        <v>216</v>
      </c>
      <c r="D110" s="337"/>
      <c r="E110" s="170">
        <v>1826.4</v>
      </c>
      <c r="F110" s="176"/>
      <c r="G110" s="176"/>
      <c r="H110" s="176">
        <v>326.2</v>
      </c>
      <c r="I110" s="176"/>
      <c r="J110" s="176">
        <v>69.900000000000006</v>
      </c>
      <c r="K110" s="176"/>
      <c r="L110" s="176">
        <v>240</v>
      </c>
      <c r="M110" s="176">
        <v>547.29999999999995</v>
      </c>
      <c r="N110" s="176">
        <v>190</v>
      </c>
      <c r="O110" s="176">
        <v>263</v>
      </c>
      <c r="P110" s="176">
        <v>190</v>
      </c>
      <c r="Q110" s="176"/>
      <c r="R110" s="586">
        <f>SUM(F110:Q110)</f>
        <v>1826.4</v>
      </c>
      <c r="S110" s="335">
        <f>F110</f>
        <v>0</v>
      </c>
      <c r="T110" s="337"/>
      <c r="U110" s="337">
        <f>T110</f>
        <v>0</v>
      </c>
      <c r="V110" s="337"/>
      <c r="W110" s="337"/>
      <c r="X110" s="337"/>
      <c r="Y110" s="337"/>
      <c r="Z110" s="337"/>
      <c r="AA110" s="337"/>
      <c r="AB110" s="337"/>
      <c r="AC110" s="337"/>
      <c r="AD110" s="337"/>
      <c r="AE110" s="337"/>
      <c r="AF110" s="337"/>
      <c r="AG110" s="337"/>
      <c r="AH110" s="337"/>
      <c r="AI110" s="337"/>
      <c r="AJ110" s="566"/>
      <c r="AK110" s="566"/>
      <c r="AL110" s="566"/>
      <c r="AM110" s="566"/>
      <c r="AN110" s="566"/>
      <c r="AO110" s="566"/>
      <c r="AP110" s="566"/>
      <c r="AQ110" s="566"/>
      <c r="AR110" s="566"/>
      <c r="AS110" s="566"/>
      <c r="AT110" s="566"/>
      <c r="AU110" s="566"/>
      <c r="AV110" s="602">
        <f>AU110+AT110+AS110+AR110+AQ110+AP110+AO110+AN110+AM110+AL110+AK110+AJ110</f>
        <v>0</v>
      </c>
      <c r="AW110" s="337"/>
      <c r="AX110" s="337"/>
      <c r="AY110" s="170"/>
      <c r="AZ110" s="102"/>
      <c r="BA110" s="186"/>
      <c r="BB110" s="186"/>
      <c r="BC110" s="186"/>
      <c r="BD110" s="186"/>
      <c r="BF110" s="204"/>
    </row>
    <row r="111" spans="1:58" s="19" customFormat="1" ht="30" outlineLevel="7" x14ac:dyDescent="0.25">
      <c r="A111" s="18"/>
      <c r="B111" s="552" t="s">
        <v>659</v>
      </c>
      <c r="C111" s="20" t="s">
        <v>326</v>
      </c>
      <c r="D111" s="337"/>
      <c r="E111" s="170">
        <v>784.2</v>
      </c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>
        <v>784.2</v>
      </c>
      <c r="R111" s="586">
        <f t="shared" si="109"/>
        <v>784.2</v>
      </c>
      <c r="S111" s="335">
        <f t="shared" si="95"/>
        <v>0</v>
      </c>
      <c r="T111" s="337"/>
      <c r="U111" s="337">
        <f t="shared" si="97"/>
        <v>0</v>
      </c>
      <c r="V111" s="337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566"/>
      <c r="AK111" s="566"/>
      <c r="AL111" s="566"/>
      <c r="AM111" s="566"/>
      <c r="AN111" s="566"/>
      <c r="AO111" s="566"/>
      <c r="AP111" s="566"/>
      <c r="AQ111" s="566"/>
      <c r="AR111" s="566"/>
      <c r="AS111" s="566"/>
      <c r="AT111" s="566"/>
      <c r="AU111" s="566"/>
      <c r="AV111" s="602">
        <f t="shared" si="96"/>
        <v>0</v>
      </c>
      <c r="AW111" s="337"/>
      <c r="AX111" s="337"/>
      <c r="AY111" s="170"/>
      <c r="AZ111" s="102"/>
      <c r="BA111" s="186"/>
      <c r="BB111" s="186"/>
      <c r="BC111" s="186"/>
      <c r="BD111" s="186"/>
      <c r="BF111" s="204"/>
    </row>
    <row r="112" spans="1:58" s="19" customFormat="1" ht="52.5" customHeight="1" outlineLevel="7" x14ac:dyDescent="0.25">
      <c r="A112" s="18"/>
      <c r="B112" s="552" t="s">
        <v>660</v>
      </c>
      <c r="C112" s="20" t="s">
        <v>251</v>
      </c>
      <c r="D112" s="337"/>
      <c r="E112" s="170">
        <v>310</v>
      </c>
      <c r="F112" s="176"/>
      <c r="G112" s="176"/>
      <c r="H112" s="176"/>
      <c r="I112" s="176"/>
      <c r="J112" s="176"/>
      <c r="K112" s="176"/>
      <c r="L112" s="176"/>
      <c r="M112" s="176">
        <v>310</v>
      </c>
      <c r="N112" s="176"/>
      <c r="O112" s="176"/>
      <c r="P112" s="176"/>
      <c r="Q112" s="176"/>
      <c r="R112" s="586">
        <f t="shared" si="109"/>
        <v>310</v>
      </c>
      <c r="S112" s="335">
        <f t="shared" si="95"/>
        <v>0</v>
      </c>
      <c r="T112" s="337"/>
      <c r="U112" s="337">
        <f t="shared" si="97"/>
        <v>0</v>
      </c>
      <c r="V112" s="337"/>
      <c r="W112" s="337"/>
      <c r="X112" s="337"/>
      <c r="Y112" s="337"/>
      <c r="Z112" s="337"/>
      <c r="AA112" s="337"/>
      <c r="AB112" s="337"/>
      <c r="AC112" s="337"/>
      <c r="AD112" s="337"/>
      <c r="AE112" s="337"/>
      <c r="AF112" s="337"/>
      <c r="AG112" s="337"/>
      <c r="AH112" s="337"/>
      <c r="AI112" s="337"/>
      <c r="AJ112" s="566"/>
      <c r="AK112" s="566"/>
      <c r="AL112" s="566"/>
      <c r="AM112" s="566"/>
      <c r="AN112" s="566"/>
      <c r="AO112" s="566"/>
      <c r="AP112" s="566"/>
      <c r="AQ112" s="566"/>
      <c r="AR112" s="566"/>
      <c r="AS112" s="566"/>
      <c r="AT112" s="566"/>
      <c r="AU112" s="566"/>
      <c r="AV112" s="602">
        <f t="shared" si="96"/>
        <v>0</v>
      </c>
      <c r="AW112" s="337"/>
      <c r="AX112" s="337"/>
      <c r="AY112" s="170"/>
      <c r="AZ112" s="102"/>
      <c r="BA112" s="186"/>
      <c r="BB112" s="186"/>
      <c r="BC112" s="186"/>
      <c r="BD112" s="186"/>
      <c r="BF112" s="204"/>
    </row>
    <row r="113" spans="1:58" s="19" customFormat="1" ht="44.25" customHeight="1" outlineLevel="7" x14ac:dyDescent="0.25">
      <c r="A113" s="18"/>
      <c r="B113" s="232" t="s">
        <v>385</v>
      </c>
      <c r="C113" s="20" t="s">
        <v>384</v>
      </c>
      <c r="D113" s="337"/>
      <c r="E113" s="170">
        <v>700</v>
      </c>
      <c r="F113" s="176"/>
      <c r="G113" s="176"/>
      <c r="H113" s="176">
        <v>700</v>
      </c>
      <c r="I113" s="176"/>
      <c r="J113" s="176"/>
      <c r="K113" s="176"/>
      <c r="L113" s="176"/>
      <c r="M113" s="176"/>
      <c r="N113" s="176"/>
      <c r="O113" s="176"/>
      <c r="P113" s="176"/>
      <c r="Q113" s="176"/>
      <c r="R113" s="586">
        <f t="shared" si="109"/>
        <v>700</v>
      </c>
      <c r="S113" s="335">
        <f t="shared" si="95"/>
        <v>0</v>
      </c>
      <c r="T113" s="337"/>
      <c r="U113" s="337">
        <f t="shared" si="97"/>
        <v>0</v>
      </c>
      <c r="V113" s="337"/>
      <c r="W113" s="337"/>
      <c r="X113" s="337"/>
      <c r="Y113" s="337"/>
      <c r="Z113" s="337"/>
      <c r="AA113" s="337"/>
      <c r="AB113" s="337"/>
      <c r="AC113" s="337"/>
      <c r="AD113" s="337"/>
      <c r="AE113" s="337"/>
      <c r="AF113" s="337"/>
      <c r="AG113" s="337"/>
      <c r="AH113" s="337"/>
      <c r="AI113" s="337"/>
      <c r="AJ113" s="566"/>
      <c r="AK113" s="566"/>
      <c r="AL113" s="566"/>
      <c r="AM113" s="566"/>
      <c r="AN113" s="566"/>
      <c r="AO113" s="566"/>
      <c r="AP113" s="566"/>
      <c r="AQ113" s="566"/>
      <c r="AR113" s="566"/>
      <c r="AS113" s="566"/>
      <c r="AT113" s="566"/>
      <c r="AU113" s="566"/>
      <c r="AV113" s="602">
        <f t="shared" si="96"/>
        <v>0</v>
      </c>
      <c r="AW113" s="337"/>
      <c r="AX113" s="337"/>
      <c r="AY113" s="170"/>
      <c r="AZ113" s="102"/>
      <c r="BA113" s="186"/>
      <c r="BB113" s="186"/>
      <c r="BC113" s="186"/>
      <c r="BD113" s="186"/>
      <c r="BF113" s="204"/>
    </row>
    <row r="114" spans="1:58" s="19" customFormat="1" ht="67.5" customHeight="1" outlineLevel="7" x14ac:dyDescent="0.25">
      <c r="A114" s="18"/>
      <c r="B114" s="9" t="s">
        <v>335</v>
      </c>
      <c r="C114" s="20" t="s">
        <v>274</v>
      </c>
      <c r="D114" s="337"/>
      <c r="E114" s="170">
        <v>1242.5</v>
      </c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>
        <v>1242.5</v>
      </c>
      <c r="Q114" s="176"/>
      <c r="R114" s="586">
        <f t="shared" si="109"/>
        <v>1242.5</v>
      </c>
      <c r="S114" s="335">
        <f t="shared" si="95"/>
        <v>0</v>
      </c>
      <c r="T114" s="337"/>
      <c r="U114" s="337">
        <f t="shared" si="97"/>
        <v>0</v>
      </c>
      <c r="V114" s="337"/>
      <c r="W114" s="337"/>
      <c r="X114" s="337"/>
      <c r="Y114" s="337"/>
      <c r="Z114" s="337"/>
      <c r="AA114" s="337"/>
      <c r="AB114" s="337"/>
      <c r="AC114" s="337"/>
      <c r="AD114" s="337"/>
      <c r="AE114" s="337"/>
      <c r="AF114" s="337"/>
      <c r="AG114" s="337"/>
      <c r="AH114" s="337"/>
      <c r="AI114" s="337"/>
      <c r="AJ114" s="566"/>
      <c r="AK114" s="566"/>
      <c r="AL114" s="566"/>
      <c r="AM114" s="566"/>
      <c r="AN114" s="566"/>
      <c r="AO114" s="566"/>
      <c r="AP114" s="566"/>
      <c r="AQ114" s="566"/>
      <c r="AR114" s="566"/>
      <c r="AS114" s="566"/>
      <c r="AT114" s="566"/>
      <c r="AU114" s="566"/>
      <c r="AV114" s="602">
        <f t="shared" si="96"/>
        <v>0</v>
      </c>
      <c r="AW114" s="337"/>
      <c r="AX114" s="337"/>
      <c r="AY114" s="170"/>
      <c r="AZ114" s="102"/>
      <c r="BA114" s="186"/>
      <c r="BB114" s="186"/>
      <c r="BC114" s="186"/>
      <c r="BD114" s="186"/>
      <c r="BF114" s="204"/>
    </row>
    <row r="115" spans="1:58" s="19" customFormat="1" ht="66.75" customHeight="1" outlineLevel="7" x14ac:dyDescent="0.25">
      <c r="A115" s="18"/>
      <c r="B115" s="433" t="s">
        <v>572</v>
      </c>
      <c r="C115" s="307"/>
      <c r="D115" s="337"/>
      <c r="E115" s="170"/>
      <c r="F115" s="176">
        <v>-43.8</v>
      </c>
      <c r="G115" s="176">
        <v>43.8</v>
      </c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586">
        <f t="shared" si="109"/>
        <v>0</v>
      </c>
      <c r="S115" s="335">
        <f t="shared" si="95"/>
        <v>-43.8</v>
      </c>
      <c r="T115" s="337"/>
      <c r="U115" s="337">
        <f t="shared" si="97"/>
        <v>0</v>
      </c>
      <c r="V115" s="337"/>
      <c r="W115" s="337"/>
      <c r="X115" s="337"/>
      <c r="Y115" s="337"/>
      <c r="Z115" s="337"/>
      <c r="AA115" s="337"/>
      <c r="AB115" s="337"/>
      <c r="AC115" s="337"/>
      <c r="AD115" s="337"/>
      <c r="AE115" s="337"/>
      <c r="AF115" s="337"/>
      <c r="AG115" s="337"/>
      <c r="AH115" s="337"/>
      <c r="AI115" s="337"/>
      <c r="AJ115" s="566"/>
      <c r="AK115" s="566"/>
      <c r="AL115" s="566"/>
      <c r="AM115" s="566"/>
      <c r="AN115" s="566"/>
      <c r="AO115" s="566"/>
      <c r="AP115" s="566"/>
      <c r="AQ115" s="566"/>
      <c r="AR115" s="566"/>
      <c r="AS115" s="566"/>
      <c r="AT115" s="566"/>
      <c r="AU115" s="566"/>
      <c r="AV115" s="602">
        <f t="shared" si="96"/>
        <v>0</v>
      </c>
      <c r="AW115" s="337"/>
      <c r="AX115" s="337"/>
      <c r="AY115" s="170"/>
      <c r="AZ115" s="102"/>
      <c r="BA115" s="186"/>
      <c r="BB115" s="186"/>
      <c r="BC115" s="186"/>
      <c r="BD115" s="186"/>
      <c r="BF115" s="204"/>
    </row>
    <row r="116" spans="1:58" s="19" customFormat="1" ht="72" outlineLevel="7" x14ac:dyDescent="0.25">
      <c r="A116" s="18"/>
      <c r="B116" s="306" t="s">
        <v>646</v>
      </c>
      <c r="C116" s="307"/>
      <c r="D116" s="346"/>
      <c r="E116" s="333">
        <v>131.19999999999999</v>
      </c>
      <c r="F116" s="236"/>
      <c r="G116" s="236"/>
      <c r="H116" s="236"/>
      <c r="I116" s="236"/>
      <c r="J116" s="236"/>
      <c r="K116" s="236"/>
      <c r="L116" s="236"/>
      <c r="M116" s="236"/>
      <c r="N116" s="236"/>
      <c r="O116" s="236">
        <v>131.19999999999999</v>
      </c>
      <c r="P116" s="236"/>
      <c r="Q116" s="236"/>
      <c r="R116" s="586">
        <v>131.19999999999999</v>
      </c>
      <c r="S116" s="337">
        <f t="shared" si="95"/>
        <v>0</v>
      </c>
      <c r="T116" s="337"/>
      <c r="U116" s="337">
        <f t="shared" si="97"/>
        <v>0</v>
      </c>
      <c r="V116" s="337"/>
      <c r="W116" s="337"/>
      <c r="X116" s="337"/>
      <c r="Y116" s="337"/>
      <c r="Z116" s="337"/>
      <c r="AA116" s="337"/>
      <c r="AB116" s="337"/>
      <c r="AC116" s="337"/>
      <c r="AD116" s="337"/>
      <c r="AE116" s="337"/>
      <c r="AF116" s="337"/>
      <c r="AG116" s="337"/>
      <c r="AH116" s="337"/>
      <c r="AI116" s="337"/>
      <c r="AJ116" s="566"/>
      <c r="AK116" s="566"/>
      <c r="AL116" s="566"/>
      <c r="AM116" s="566"/>
      <c r="AN116" s="566"/>
      <c r="AO116" s="566"/>
      <c r="AP116" s="566"/>
      <c r="AQ116" s="566"/>
      <c r="AR116" s="566"/>
      <c r="AS116" s="566"/>
      <c r="AT116" s="566"/>
      <c r="AU116" s="566"/>
      <c r="AV116" s="602">
        <f t="shared" si="96"/>
        <v>0</v>
      </c>
      <c r="AW116" s="337"/>
      <c r="AX116" s="337"/>
      <c r="AY116" s="435"/>
      <c r="AZ116" s="266"/>
      <c r="BA116" s="266"/>
      <c r="BB116" s="266"/>
      <c r="BC116" s="266"/>
      <c r="BD116" s="266"/>
    </row>
    <row r="117" spans="1:58" s="19" customFormat="1" ht="57.75" outlineLevel="7" x14ac:dyDescent="0.25">
      <c r="A117" s="18"/>
      <c r="B117" s="592" t="s">
        <v>196</v>
      </c>
      <c r="C117" s="307"/>
      <c r="D117" s="346"/>
      <c r="E117" s="333">
        <v>736.4</v>
      </c>
      <c r="F117" s="236"/>
      <c r="G117" s="236">
        <v>736.4</v>
      </c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586">
        <f>SUM(F117:Q117)</f>
        <v>736.4</v>
      </c>
      <c r="S117" s="337">
        <f t="shared" si="95"/>
        <v>0</v>
      </c>
      <c r="T117" s="337"/>
      <c r="U117" s="337">
        <f t="shared" si="97"/>
        <v>0</v>
      </c>
      <c r="V117" s="337"/>
      <c r="W117" s="337"/>
      <c r="X117" s="337"/>
      <c r="Y117" s="337"/>
      <c r="Z117" s="337"/>
      <c r="AA117" s="337"/>
      <c r="AB117" s="337"/>
      <c r="AC117" s="337"/>
      <c r="AD117" s="337"/>
      <c r="AE117" s="337"/>
      <c r="AF117" s="337"/>
      <c r="AG117" s="337"/>
      <c r="AH117" s="337"/>
      <c r="AI117" s="337"/>
      <c r="AJ117" s="566"/>
      <c r="AK117" s="566"/>
      <c r="AL117" s="566"/>
      <c r="AM117" s="566"/>
      <c r="AN117" s="566"/>
      <c r="AO117" s="566"/>
      <c r="AP117" s="566"/>
      <c r="AQ117" s="566"/>
      <c r="AR117" s="566"/>
      <c r="AS117" s="566"/>
      <c r="AT117" s="566"/>
      <c r="AU117" s="566"/>
      <c r="AV117" s="602">
        <f t="shared" si="96"/>
        <v>0</v>
      </c>
      <c r="AW117" s="337"/>
      <c r="AX117" s="337"/>
      <c r="AY117" s="435"/>
      <c r="AZ117" s="266"/>
      <c r="BA117" s="266"/>
      <c r="BB117" s="266"/>
      <c r="BC117" s="266"/>
      <c r="BD117" s="266"/>
    </row>
    <row r="118" spans="1:58" s="555" customFormat="1" ht="72" outlineLevel="7" x14ac:dyDescent="0.25">
      <c r="A118" s="8"/>
      <c r="B118" s="306" t="s">
        <v>197</v>
      </c>
      <c r="C118" s="307"/>
      <c r="D118" s="346"/>
      <c r="E118" s="333">
        <v>-728.7</v>
      </c>
      <c r="F118" s="236">
        <v>-5653.5</v>
      </c>
      <c r="G118" s="236">
        <v>5056</v>
      </c>
      <c r="H118" s="236"/>
      <c r="I118" s="236"/>
      <c r="J118" s="236"/>
      <c r="K118" s="236"/>
      <c r="L118" s="236"/>
      <c r="M118" s="236"/>
      <c r="N118" s="236"/>
      <c r="O118" s="236">
        <v>-131.19999999999999</v>
      </c>
      <c r="P118" s="236"/>
      <c r="Q118" s="236"/>
      <c r="R118" s="586">
        <f>SUM(F118:Q118)</f>
        <v>-728.7</v>
      </c>
      <c r="S118" s="337">
        <f t="shared" si="95"/>
        <v>-5653.5</v>
      </c>
      <c r="T118" s="337"/>
      <c r="U118" s="337">
        <v>-3079.3</v>
      </c>
      <c r="V118" s="337"/>
      <c r="W118" s="337">
        <f>AV118</f>
        <v>-3079.3</v>
      </c>
      <c r="X118" s="337">
        <f>AJ118</f>
        <v>-3079.3</v>
      </c>
      <c r="Y118" s="337"/>
      <c r="Z118" s="337"/>
      <c r="AA118" s="337"/>
      <c r="AB118" s="337"/>
      <c r="AC118" s="337"/>
      <c r="AD118" s="337"/>
      <c r="AE118" s="337"/>
      <c r="AF118" s="337"/>
      <c r="AG118" s="337"/>
      <c r="AH118" s="337"/>
      <c r="AI118" s="337"/>
      <c r="AJ118" s="160">
        <v>-3079.3</v>
      </c>
      <c r="AK118" s="566"/>
      <c r="AL118" s="566"/>
      <c r="AM118" s="566"/>
      <c r="AN118" s="566"/>
      <c r="AO118" s="566"/>
      <c r="AP118" s="566"/>
      <c r="AQ118" s="566"/>
      <c r="AR118" s="566"/>
      <c r="AS118" s="566"/>
      <c r="AT118" s="566"/>
      <c r="AU118" s="566"/>
      <c r="AV118" s="602">
        <f t="shared" si="96"/>
        <v>-3079.3</v>
      </c>
      <c r="AW118" s="337"/>
      <c r="AX118" s="337"/>
      <c r="AY118" s="435"/>
      <c r="AZ118" s="266"/>
      <c r="BA118" s="266"/>
      <c r="BB118" s="266"/>
      <c r="BC118" s="266"/>
      <c r="BD118" s="266"/>
    </row>
    <row r="119" spans="1:58" s="555" customFormat="1" ht="36.75" customHeight="1" x14ac:dyDescent="0.25">
      <c r="A119" s="13"/>
      <c r="B119" s="596" t="s">
        <v>292</v>
      </c>
      <c r="C119" s="597"/>
      <c r="D119" s="598" t="e">
        <f t="shared" ref="D119:Q119" si="110">D32+D31</f>
        <v>#REF!</v>
      </c>
      <c r="E119" s="598" t="e">
        <f>E32+E31</f>
        <v>#REF!</v>
      </c>
      <c r="F119" s="598" t="e">
        <f t="shared" si="110"/>
        <v>#REF!</v>
      </c>
      <c r="G119" s="598" t="e">
        <f t="shared" si="110"/>
        <v>#REF!</v>
      </c>
      <c r="H119" s="598" t="e">
        <f t="shared" si="110"/>
        <v>#REF!</v>
      </c>
      <c r="I119" s="598" t="e">
        <f t="shared" si="110"/>
        <v>#REF!</v>
      </c>
      <c r="J119" s="598" t="e">
        <f t="shared" si="110"/>
        <v>#REF!</v>
      </c>
      <c r="K119" s="598" t="e">
        <f t="shared" si="110"/>
        <v>#REF!</v>
      </c>
      <c r="L119" s="598" t="e">
        <f t="shared" si="110"/>
        <v>#REF!</v>
      </c>
      <c r="M119" s="598" t="e">
        <f t="shared" si="110"/>
        <v>#REF!</v>
      </c>
      <c r="N119" s="598" t="e">
        <f t="shared" si="110"/>
        <v>#REF!</v>
      </c>
      <c r="O119" s="598" t="e">
        <f t="shared" si="110"/>
        <v>#REF!</v>
      </c>
      <c r="P119" s="598" t="e">
        <f t="shared" si="110"/>
        <v>#REF!</v>
      </c>
      <c r="Q119" s="598" t="e">
        <f t="shared" si="110"/>
        <v>#REF!</v>
      </c>
      <c r="R119" s="598">
        <f>R32+R31</f>
        <v>1230834.3000000003</v>
      </c>
      <c r="S119" s="598">
        <f t="shared" ref="S119:AX119" si="111">S32+S31</f>
        <v>69784.5</v>
      </c>
      <c r="T119" s="598">
        <f t="shared" si="111"/>
        <v>1104164.7</v>
      </c>
      <c r="U119" s="598">
        <f t="shared" si="111"/>
        <v>1102232.7</v>
      </c>
      <c r="V119" s="598">
        <f t="shared" si="111"/>
        <v>390794.8</v>
      </c>
      <c r="W119" s="598">
        <f t="shared" si="111"/>
        <v>105853.4</v>
      </c>
      <c r="X119" s="598">
        <f t="shared" si="111"/>
        <v>57138.2</v>
      </c>
      <c r="Y119" s="598">
        <f t="shared" si="111"/>
        <v>23341.3</v>
      </c>
      <c r="Z119" s="598">
        <f t="shared" si="111"/>
        <v>25373.899999999998</v>
      </c>
      <c r="AA119" s="598">
        <f t="shared" si="111"/>
        <v>34513.699999999997</v>
      </c>
      <c r="AB119" s="598">
        <f t="shared" si="111"/>
        <v>22526.799999999999</v>
      </c>
      <c r="AC119" s="598">
        <f t="shared" si="111"/>
        <v>31054.2</v>
      </c>
      <c r="AD119" s="598">
        <f t="shared" si="111"/>
        <v>36200.500000000007</v>
      </c>
      <c r="AE119" s="598">
        <f t="shared" si="111"/>
        <v>26646.7</v>
      </c>
      <c r="AF119" s="598">
        <f t="shared" si="111"/>
        <v>29217.9</v>
      </c>
      <c r="AG119" s="598">
        <f t="shared" si="111"/>
        <v>35595.1</v>
      </c>
      <c r="AH119" s="598">
        <f t="shared" si="111"/>
        <v>32409.3</v>
      </c>
      <c r="AI119" s="598">
        <f t="shared" si="111"/>
        <v>84436.2</v>
      </c>
      <c r="AJ119" s="598">
        <f t="shared" si="111"/>
        <v>57441.099999999991</v>
      </c>
      <c r="AK119" s="598">
        <f t="shared" si="111"/>
        <v>0</v>
      </c>
      <c r="AL119" s="598">
        <f t="shared" si="111"/>
        <v>0</v>
      </c>
      <c r="AM119" s="598">
        <f t="shared" si="111"/>
        <v>0</v>
      </c>
      <c r="AN119" s="598">
        <f t="shared" si="111"/>
        <v>0</v>
      </c>
      <c r="AO119" s="598">
        <f t="shared" si="111"/>
        <v>0</v>
      </c>
      <c r="AP119" s="598">
        <f t="shared" si="111"/>
        <v>0</v>
      </c>
      <c r="AQ119" s="598">
        <f t="shared" si="111"/>
        <v>0</v>
      </c>
      <c r="AR119" s="598">
        <f t="shared" si="111"/>
        <v>0</v>
      </c>
      <c r="AS119" s="598">
        <f t="shared" si="111"/>
        <v>0</v>
      </c>
      <c r="AT119" s="598">
        <f t="shared" si="111"/>
        <v>0</v>
      </c>
      <c r="AU119" s="598">
        <f t="shared" si="111"/>
        <v>0</v>
      </c>
      <c r="AV119" s="598">
        <f t="shared" si="111"/>
        <v>57441.099999999991</v>
      </c>
      <c r="AW119" s="598">
        <f t="shared" si="111"/>
        <v>302.89999999999964</v>
      </c>
      <c r="AX119" s="598">
        <f t="shared" si="111"/>
        <v>-48412.299999999996</v>
      </c>
      <c r="AY119" s="169"/>
      <c r="AZ119" s="106"/>
      <c r="BA119" s="187"/>
      <c r="BB119" s="106"/>
      <c r="BC119" s="187"/>
      <c r="BD119" s="187"/>
    </row>
    <row r="120" spans="1:58" ht="12.75" customHeight="1" x14ac:dyDescent="0.25">
      <c r="D120" s="93">
        <v>1120340.6000000001</v>
      </c>
      <c r="R120" s="93">
        <v>1230865.5</v>
      </c>
      <c r="T120" s="561">
        <v>1104164.7</v>
      </c>
      <c r="AJ120" s="567"/>
      <c r="AK120" s="567"/>
      <c r="AL120" s="567"/>
      <c r="AM120" s="567"/>
      <c r="AN120" s="567"/>
      <c r="AO120" s="567"/>
      <c r="AP120" s="567"/>
      <c r="AQ120" s="567"/>
      <c r="AR120" s="567"/>
      <c r="AS120" s="567"/>
      <c r="AT120" s="567"/>
      <c r="AU120" s="567"/>
      <c r="AV120" s="567"/>
    </row>
    <row r="121" spans="1:58" ht="12.75" customHeight="1" x14ac:dyDescent="0.25">
      <c r="AV121" s="623"/>
      <c r="AZ121" s="100"/>
      <c r="BB121" s="100"/>
      <c r="BD121" s="100"/>
    </row>
    <row r="122" spans="1:58" ht="12.75" customHeight="1" x14ac:dyDescent="0.25">
      <c r="D122" s="104"/>
      <c r="AW122" s="104"/>
      <c r="AX122" s="104"/>
      <c r="AZ122" s="100"/>
      <c r="BA122" s="100"/>
      <c r="BB122" s="100"/>
      <c r="BD122" s="436"/>
    </row>
    <row r="123" spans="1:58" ht="12.75" customHeight="1" x14ac:dyDescent="0.25">
      <c r="BA123" s="100"/>
    </row>
    <row r="125" spans="1:58" ht="12.75" customHeight="1" x14ac:dyDescent="0.25">
      <c r="AY125" s="100"/>
    </row>
  </sheetData>
  <mergeCells count="1">
    <mergeCell ref="B1:BD1"/>
  </mergeCells>
  <pageMargins left="0.74803149606299213" right="0.11811023622047245" top="0.31496062992125984" bottom="0.11811023622047245" header="0.51181102362204722" footer="0.51181102362204722"/>
  <pageSetup paperSize="9" scale="50" fitToHeight="6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CA135"/>
  <sheetViews>
    <sheetView showGridLines="0" topLeftCell="B1" zoomScale="80" zoomScaleNormal="80" workbookViewId="0">
      <pane ySplit="3" topLeftCell="A121" activePane="bottomLeft" state="frozen"/>
      <selection activeCell="B1" sqref="B1"/>
      <selection pane="bottomLeft" activeCell="BM7" sqref="BM7"/>
    </sheetView>
  </sheetViews>
  <sheetFormatPr defaultRowHeight="12.75" customHeight="1" outlineLevelRow="7" x14ac:dyDescent="0.2"/>
  <cols>
    <col min="1" max="1" width="17.85546875" style="6" hidden="1" customWidth="1"/>
    <col min="2" max="2" width="39" customWidth="1"/>
    <col min="3" max="3" width="5.140625" customWidth="1"/>
    <col min="4" max="5" width="14.42578125" hidden="1" customWidth="1"/>
    <col min="6" max="6" width="13.5703125" style="93" hidden="1" customWidth="1"/>
    <col min="7" max="7" width="12.5703125" style="93" hidden="1" customWidth="1"/>
    <col min="8" max="8" width="12" style="93" hidden="1" customWidth="1"/>
    <col min="9" max="9" width="12.140625" style="93" hidden="1" customWidth="1"/>
    <col min="10" max="10" width="14.140625" style="93" hidden="1" customWidth="1"/>
    <col min="11" max="11" width="12.7109375" style="93" hidden="1" customWidth="1"/>
    <col min="12" max="12" width="13" style="93" hidden="1" customWidth="1"/>
    <col min="13" max="16" width="12.140625" style="93" hidden="1" customWidth="1"/>
    <col min="17" max="17" width="14.140625" style="93" hidden="1" customWidth="1"/>
    <col min="18" max="18" width="3.42578125" style="93" hidden="1" customWidth="1"/>
    <col min="19" max="19" width="7.7109375" style="93" hidden="1" customWidth="1"/>
    <col min="20" max="20" width="13.42578125" style="93" hidden="1" customWidth="1"/>
    <col min="21" max="24" width="14.42578125" style="93" hidden="1" customWidth="1"/>
    <col min="25" max="25" width="12.28515625" style="93" hidden="1" customWidth="1"/>
    <col min="26" max="27" width="14.42578125" style="93" hidden="1" customWidth="1"/>
    <col min="28" max="28" width="12.140625" style="93" hidden="1" customWidth="1"/>
    <col min="29" max="29" width="13.140625" style="93" hidden="1" customWidth="1"/>
    <col min="30" max="31" width="14.42578125" style="93" hidden="1" customWidth="1"/>
    <col min="32" max="32" width="3.5703125" style="93" hidden="1" customWidth="1"/>
    <col min="33" max="33" width="13.85546875" style="93" customWidth="1"/>
    <col min="34" max="34" width="13.5703125" style="93" customWidth="1"/>
    <col min="35" max="35" width="14.42578125" customWidth="1"/>
    <col min="36" max="36" width="14.42578125" style="93" customWidth="1"/>
    <col min="37" max="38" width="14.42578125" style="93" hidden="1" customWidth="1"/>
    <col min="39" max="40" width="12.7109375" style="93" hidden="1" customWidth="1"/>
    <col min="41" max="42" width="14.42578125" style="93" hidden="1" customWidth="1"/>
    <col min="43" max="43" width="11.7109375" style="93" hidden="1" customWidth="1"/>
    <col min="44" max="47" width="14.42578125" style="93" hidden="1" customWidth="1"/>
    <col min="48" max="48" width="12.42578125" style="93" hidden="1" customWidth="1"/>
    <col min="49" max="50" width="14.42578125" style="93" hidden="1" customWidth="1"/>
    <col min="51" max="51" width="13.42578125" style="93" hidden="1" customWidth="1"/>
    <col min="52" max="52" width="14.42578125" style="93" hidden="1" customWidth="1"/>
    <col min="53" max="54" width="14.42578125" style="93" customWidth="1"/>
    <col min="55" max="55" width="11.5703125" style="93" customWidth="1"/>
    <col min="56" max="56" width="14.42578125" style="93" customWidth="1"/>
    <col min="57" max="57" width="13.7109375" style="93" customWidth="1"/>
    <col min="58" max="59" width="14.42578125" style="93" customWidth="1"/>
    <col min="60" max="60" width="12.140625" style="93" customWidth="1"/>
    <col min="61" max="61" width="12" style="93" customWidth="1"/>
    <col min="62" max="62" width="14.42578125" style="93" customWidth="1"/>
    <col min="63" max="63" width="13.7109375" style="93" customWidth="1"/>
    <col min="64" max="64" width="14.42578125" style="93" customWidth="1"/>
    <col min="65" max="65" width="13" style="93" customWidth="1"/>
    <col min="66" max="66" width="11.7109375" style="93" hidden="1" customWidth="1"/>
    <col min="67" max="67" width="15.85546875" customWidth="1"/>
    <col min="68" max="68" width="13" customWidth="1"/>
    <col min="69" max="69" width="12.7109375" customWidth="1"/>
    <col min="70" max="70" width="13.7109375" customWidth="1"/>
    <col min="71" max="71" width="13.85546875" customWidth="1"/>
    <col min="72" max="72" width="13.28515625" customWidth="1"/>
    <col min="73" max="73" width="19" hidden="1" customWidth="1"/>
    <col min="74" max="74" width="13.5703125" hidden="1" customWidth="1"/>
    <col min="75" max="75" width="13" hidden="1" customWidth="1"/>
  </cols>
  <sheetData>
    <row r="1" spans="1:75" ht="15" customHeight="1" x14ac:dyDescent="0.2">
      <c r="A1" s="3"/>
      <c r="B1" s="632" t="s">
        <v>662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  <c r="AE1" s="635"/>
      <c r="AF1" s="635"/>
      <c r="AG1" s="635"/>
      <c r="AH1" s="634"/>
      <c r="AI1" s="634"/>
      <c r="AJ1" s="634"/>
      <c r="AK1" s="634"/>
      <c r="AL1" s="634"/>
      <c r="AM1" s="634"/>
      <c r="AN1" s="634"/>
      <c r="AO1" s="634"/>
      <c r="AP1" s="634"/>
      <c r="AQ1" s="634"/>
      <c r="AR1" s="634"/>
      <c r="AS1" s="634"/>
      <c r="AT1" s="634"/>
      <c r="AU1" s="634"/>
      <c r="AV1" s="634"/>
      <c r="AW1" s="634"/>
      <c r="AX1" s="634"/>
      <c r="AY1" s="634"/>
      <c r="AZ1" s="634"/>
      <c r="BA1" s="634"/>
      <c r="BB1" s="634"/>
      <c r="BC1" s="634"/>
      <c r="BD1" s="634"/>
      <c r="BE1" s="634"/>
      <c r="BF1" s="634"/>
      <c r="BG1" s="634"/>
      <c r="BH1" s="634"/>
      <c r="BI1" s="634"/>
      <c r="BJ1" s="634"/>
      <c r="BK1" s="634"/>
      <c r="BL1" s="634"/>
      <c r="BM1" s="634"/>
      <c r="BN1" s="360"/>
    </row>
    <row r="2" spans="1:75" ht="15" customHeight="1" x14ac:dyDescent="0.2">
      <c r="A2" s="3"/>
      <c r="C2" s="1"/>
      <c r="D2" s="1"/>
      <c r="E2" s="1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BN2" s="244" t="s">
        <v>367</v>
      </c>
      <c r="BP2" s="244"/>
    </row>
    <row r="3" spans="1:75" ht="59.25" customHeight="1" x14ac:dyDescent="0.25">
      <c r="A3" s="4" t="s">
        <v>0</v>
      </c>
      <c r="B3" s="63" t="s">
        <v>1</v>
      </c>
      <c r="C3" s="63"/>
      <c r="D3" s="301" t="s">
        <v>323</v>
      </c>
      <c r="E3" s="301" t="s">
        <v>553</v>
      </c>
      <c r="F3" s="303" t="s">
        <v>437</v>
      </c>
      <c r="G3" s="303" t="s">
        <v>361</v>
      </c>
      <c r="H3" s="303" t="s">
        <v>368</v>
      </c>
      <c r="I3" s="303" t="s">
        <v>380</v>
      </c>
      <c r="J3" s="303" t="s">
        <v>356</v>
      </c>
      <c r="K3" s="303" t="s">
        <v>357</v>
      </c>
      <c r="L3" s="303" t="s">
        <v>358</v>
      </c>
      <c r="M3" s="303" t="s">
        <v>409</v>
      </c>
      <c r="N3" s="303" t="s">
        <v>410</v>
      </c>
      <c r="O3" s="303" t="s">
        <v>420</v>
      </c>
      <c r="P3" s="303" t="s">
        <v>427</v>
      </c>
      <c r="Q3" s="303" t="s">
        <v>490</v>
      </c>
      <c r="R3" s="327" t="s">
        <v>343</v>
      </c>
      <c r="S3" s="327" t="s">
        <v>444</v>
      </c>
      <c r="T3" s="327" t="s">
        <v>648</v>
      </c>
      <c r="U3" s="303" t="s">
        <v>359</v>
      </c>
      <c r="V3" s="303" t="s">
        <v>361</v>
      </c>
      <c r="W3" s="303" t="s">
        <v>368</v>
      </c>
      <c r="X3" s="303" t="s">
        <v>380</v>
      </c>
      <c r="Y3" s="303" t="s">
        <v>356</v>
      </c>
      <c r="Z3" s="303" t="s">
        <v>357</v>
      </c>
      <c r="AA3" s="303" t="s">
        <v>358</v>
      </c>
      <c r="AB3" s="303" t="s">
        <v>409</v>
      </c>
      <c r="AC3" s="303" t="s">
        <v>410</v>
      </c>
      <c r="AD3" s="303" t="s">
        <v>420</v>
      </c>
      <c r="AE3" s="303" t="s">
        <v>427</v>
      </c>
      <c r="AF3" s="303" t="s">
        <v>549</v>
      </c>
      <c r="AG3" s="326" t="s">
        <v>555</v>
      </c>
      <c r="AH3" s="307" t="s">
        <v>655</v>
      </c>
      <c r="AI3" s="327" t="s">
        <v>661</v>
      </c>
      <c r="AJ3" s="314" t="s">
        <v>563</v>
      </c>
      <c r="AK3" s="328" t="s">
        <v>461</v>
      </c>
      <c r="AL3" s="313" t="s">
        <v>443</v>
      </c>
      <c r="AM3" s="328" t="s">
        <v>453</v>
      </c>
      <c r="AN3" s="314" t="s">
        <v>455</v>
      </c>
      <c r="AO3" s="313" t="s">
        <v>439</v>
      </c>
      <c r="AP3" s="313" t="s">
        <v>460</v>
      </c>
      <c r="AQ3" s="314" t="s">
        <v>467</v>
      </c>
      <c r="AR3" s="328" t="s">
        <v>468</v>
      </c>
      <c r="AS3" s="313" t="s">
        <v>440</v>
      </c>
      <c r="AT3" s="314" t="s">
        <v>478</v>
      </c>
      <c r="AU3" s="314" t="s">
        <v>481</v>
      </c>
      <c r="AV3" s="328" t="s">
        <v>482</v>
      </c>
      <c r="AW3" s="313" t="s">
        <v>441</v>
      </c>
      <c r="AX3" s="314" t="s">
        <v>483</v>
      </c>
      <c r="AY3" s="328" t="s">
        <v>484</v>
      </c>
      <c r="AZ3" s="328" t="s">
        <v>485</v>
      </c>
      <c r="BA3" s="303" t="s">
        <v>359</v>
      </c>
      <c r="BB3" s="303" t="s">
        <v>361</v>
      </c>
      <c r="BC3" s="303" t="s">
        <v>368</v>
      </c>
      <c r="BD3" s="303" t="s">
        <v>380</v>
      </c>
      <c r="BE3" s="303" t="s">
        <v>574</v>
      </c>
      <c r="BF3" s="303" t="s">
        <v>357</v>
      </c>
      <c r="BG3" s="303" t="s">
        <v>358</v>
      </c>
      <c r="BH3" s="303" t="s">
        <v>409</v>
      </c>
      <c r="BI3" s="303" t="s">
        <v>410</v>
      </c>
      <c r="BJ3" s="303" t="s">
        <v>420</v>
      </c>
      <c r="BK3" s="303" t="s">
        <v>427</v>
      </c>
      <c r="BL3" s="303" t="s">
        <v>549</v>
      </c>
      <c r="BM3" s="326" t="s">
        <v>573</v>
      </c>
      <c r="BN3" s="327" t="s">
        <v>652</v>
      </c>
      <c r="BO3" s="314" t="s">
        <v>477</v>
      </c>
      <c r="BP3" s="548" t="s">
        <v>576</v>
      </c>
      <c r="BQ3" s="328" t="s">
        <v>657</v>
      </c>
      <c r="BR3" s="553" t="s">
        <v>653</v>
      </c>
      <c r="BS3" s="314" t="s">
        <v>577</v>
      </c>
      <c r="BT3" s="314" t="s">
        <v>654</v>
      </c>
      <c r="BU3" s="314"/>
      <c r="BV3" s="303" t="s">
        <v>656</v>
      </c>
      <c r="BW3" s="303" t="s">
        <v>658</v>
      </c>
    </row>
    <row r="4" spans="1:75" s="14" customFormat="1" ht="21" customHeight="1" outlineLevel="1" x14ac:dyDescent="0.25">
      <c r="A4" s="5" t="s">
        <v>7</v>
      </c>
      <c r="B4" s="194" t="s">
        <v>100</v>
      </c>
      <c r="C4" s="137"/>
      <c r="D4" s="36">
        <v>164912.5</v>
      </c>
      <c r="E4" s="379">
        <v>195059.7</v>
      </c>
      <c r="F4" s="176">
        <v>5623.7</v>
      </c>
      <c r="G4" s="176">
        <v>-1174.3</v>
      </c>
      <c r="H4" s="176">
        <f>8910.8+15853.9+190.5</f>
        <v>24955.199999999997</v>
      </c>
      <c r="I4" s="176">
        <f>3159.1-459.6+9953.3+520.2+22+4105.7</f>
        <v>17300.7</v>
      </c>
      <c r="J4" s="176">
        <v>16823</v>
      </c>
      <c r="K4" s="176">
        <f>442.8+20214.3</f>
        <v>20657.099999999999</v>
      </c>
      <c r="L4" s="176">
        <f>3819.5+5040.3+9122.3+1176.6</f>
        <v>19158.699999999997</v>
      </c>
      <c r="M4" s="176">
        <v>18470.3</v>
      </c>
      <c r="N4" s="176">
        <f>11666.8+6415.8</f>
        <v>18082.599999999999</v>
      </c>
      <c r="O4" s="176">
        <f>16015.8+367.3</f>
        <v>16383.099999999999</v>
      </c>
      <c r="P4" s="176">
        <f>2350+15233+452.3</f>
        <v>18035.3</v>
      </c>
      <c r="Q4" s="176">
        <f>4396.8+18.9+7613.6+6926.4+2.8+2456+298.9+6727+10220.6+933.6</f>
        <v>39594.6</v>
      </c>
      <c r="R4" s="174">
        <f t="shared" ref="R4:R13" si="0">F4+G4+H4+I4+J4+K4+L4+M4+N4+O4+P4+Q4</f>
        <v>213910</v>
      </c>
      <c r="S4" s="324">
        <v>222427.2</v>
      </c>
      <c r="T4" s="324">
        <f>U4+V4+W4+X4+Y4+Z4+AA4+AB4+AC4+AD4+AE4</f>
        <v>205146.40000000002</v>
      </c>
      <c r="U4" s="335">
        <v>7026.1</v>
      </c>
      <c r="V4" s="335">
        <f>3605+3.3+8891.8+2902.2</f>
        <v>15402.3</v>
      </c>
      <c r="W4" s="335">
        <f>884+14197.9-51.5</f>
        <v>15030.4</v>
      </c>
      <c r="X4" s="335">
        <f>10892.6+3155.7+1003.7-26.5</f>
        <v>15025.5</v>
      </c>
      <c r="Y4" s="335">
        <f>517.5+18637.4+1056.4</f>
        <v>20211.300000000003</v>
      </c>
      <c r="Z4" s="335">
        <v>24812.799999999999</v>
      </c>
      <c r="AA4" s="335">
        <f>69.3+3.3+25167</f>
        <v>25239.599999999999</v>
      </c>
      <c r="AB4" s="335">
        <v>18539.7</v>
      </c>
      <c r="AC4" s="335">
        <f>11026.2+2655.5+3.3+3460.9+23.2+2457.1+55.8+39.7</f>
        <v>19721.7</v>
      </c>
      <c r="AD4" s="335">
        <v>22585.7</v>
      </c>
      <c r="AE4" s="335">
        <f>456.9+21094.4</f>
        <v>21551.300000000003</v>
      </c>
      <c r="AF4" s="335">
        <f>5589.8+17833.5+3033.4+1.9+78.5+8896.4+24.3+9.3+6893.2-15.7+0.5+27.8+0.5</f>
        <v>42373.400000000009</v>
      </c>
      <c r="AG4" s="346">
        <f t="shared" ref="AG4:AG10" si="1">U4+V4+W4+X4+Y4+Z4+AA4+AB4+AC4+AF4+AE4+AD4</f>
        <v>247519.80000000005</v>
      </c>
      <c r="AH4" s="335">
        <v>259214.6</v>
      </c>
      <c r="AI4" s="335">
        <v>259214.6</v>
      </c>
      <c r="AJ4" s="337">
        <f>AK4+AO4+AS4+AW4</f>
        <v>259214.6</v>
      </c>
      <c r="AK4" s="160">
        <f>AL4+AM4+AN4</f>
        <v>55018</v>
      </c>
      <c r="AL4" s="96">
        <v>15005</v>
      </c>
      <c r="AM4" s="96">
        <v>20005</v>
      </c>
      <c r="AN4" s="96">
        <v>20008</v>
      </c>
      <c r="AO4" s="160">
        <f>AP4+AQ4+AR4</f>
        <v>61065</v>
      </c>
      <c r="AP4" s="96">
        <v>20020</v>
      </c>
      <c r="AQ4" s="96">
        <v>20020</v>
      </c>
      <c r="AR4" s="96">
        <v>21025</v>
      </c>
      <c r="AS4" s="160">
        <f>AT4+AU4+AV4</f>
        <v>64050</v>
      </c>
      <c r="AT4" s="96">
        <v>24025</v>
      </c>
      <c r="AU4" s="96">
        <v>20015</v>
      </c>
      <c r="AV4" s="96">
        <v>20010</v>
      </c>
      <c r="AW4" s="160">
        <f>AX4+AY4+AZ4</f>
        <v>79081.600000000006</v>
      </c>
      <c r="AX4" s="96">
        <v>22392.6</v>
      </c>
      <c r="AY4" s="96">
        <v>25081.5</v>
      </c>
      <c r="AZ4" s="96">
        <v>31607.5</v>
      </c>
      <c r="BA4" s="335">
        <f>3398.4-613+2430.9+2103-101.6+33.4</f>
        <v>7251.0999999999995</v>
      </c>
      <c r="BB4" s="335">
        <v>20116.2</v>
      </c>
      <c r="BC4" s="335">
        <f>6368.3-35.5+9110.8+1805.6+2+0.3</f>
        <v>17251.499999999996</v>
      </c>
      <c r="BD4" s="335">
        <f>8163.5+184.7+58.5+8612.6+3383.9+1216.5+14.6</f>
        <v>21634.300000000003</v>
      </c>
      <c r="BE4" s="335">
        <f>14095.6+3886.2+4.6+0.4+282.8+55.1+4.6+7.7-66.1+12.1+0.5</f>
        <v>18283.499999999996</v>
      </c>
      <c r="BF4" s="335">
        <f>4488.7+32+16212.4+5063.7+563.3</f>
        <v>26360.1</v>
      </c>
      <c r="BG4" s="335">
        <f>25442+661.7+1.3+276.7+80.7</f>
        <v>26462.400000000001</v>
      </c>
      <c r="BH4" s="335">
        <v>22080.7</v>
      </c>
      <c r="BI4" s="335">
        <v>22132.400000000001</v>
      </c>
      <c r="BJ4" s="335">
        <f>2010.5+1+0.2+23.2+12.4+0.1+19965.4-20+280.1</f>
        <v>22272.9</v>
      </c>
      <c r="BK4" s="335">
        <f>3414.9+13+14515.9-7.6+492.5+1903+0.3+7.6</f>
        <v>20339.599999999999</v>
      </c>
      <c r="BL4" s="335">
        <f>37.5+0.4+1703.8+72.8+18.3+977+13.9+85.2+927.1+0.1+1.7+7.5+130+9.9+30.3+11+30+0.2+14.7+18.6+1.7+14.8+38.1+9.3+3.1+8.2+9.8+708.3+6283.2+14.3+6614.3+14.1-5.1+2015.7+2.3+9804+10+3065.7+4.6+4660+7.2+50.7+7317.4+0.7+9.4</f>
        <v>44751.799999999988</v>
      </c>
      <c r="BM4" s="346">
        <f>SUM(BA4:BL4)</f>
        <v>268936.5</v>
      </c>
      <c r="BN4" s="335">
        <f>BL4-AZ4</f>
        <v>13144.299999999988</v>
      </c>
      <c r="BO4" s="170">
        <f>BM4/AH4*100</f>
        <v>103.75052176844977</v>
      </c>
      <c r="BP4" s="102">
        <f t="shared" ref="BP4:BP28" si="2">BM4-AH4</f>
        <v>9721.8999999999942</v>
      </c>
      <c r="BQ4" s="186">
        <f>BM4/AI4*100</f>
        <v>103.75052176844977</v>
      </c>
      <c r="BR4" s="266">
        <f t="shared" ref="BR4:BR28" si="3">BM4-AI4</f>
        <v>9721.8999999999942</v>
      </c>
      <c r="BS4" s="186">
        <f t="shared" ref="BS4:BS15" si="4">BM4/AG4*100</f>
        <v>108.65251991961853</v>
      </c>
      <c r="BT4" s="186">
        <f t="shared" ref="BT4:BT35" si="5">BM4-AG4</f>
        <v>21416.699999999953</v>
      </c>
      <c r="BU4" s="186"/>
      <c r="BV4" s="549">
        <v>263482.09999999998</v>
      </c>
      <c r="BW4" s="550">
        <f t="shared" ref="BW4:BW13" si="6">BV4-AI4</f>
        <v>4267.4999999999709</v>
      </c>
    </row>
    <row r="5" spans="1:75" s="14" customFormat="1" ht="22.5" outlineLevel="1" x14ac:dyDescent="0.25">
      <c r="A5" s="5" t="s">
        <v>8</v>
      </c>
      <c r="B5" s="194" t="s">
        <v>101</v>
      </c>
      <c r="C5" s="137"/>
      <c r="D5" s="36">
        <v>15503.8</v>
      </c>
      <c r="E5" s="379">
        <v>18740.2</v>
      </c>
      <c r="F5" s="176">
        <v>729.2</v>
      </c>
      <c r="G5" s="176">
        <v>1428.1</v>
      </c>
      <c r="H5" s="176">
        <f>772.4+220.3+1412</f>
        <v>2404.6999999999998</v>
      </c>
      <c r="I5" s="176">
        <f>1473.5+81.7</f>
        <v>1555.2</v>
      </c>
      <c r="J5" s="176">
        <v>1541.9</v>
      </c>
      <c r="K5" s="176">
        <f>36.5+1551.1</f>
        <v>1587.6</v>
      </c>
      <c r="L5" s="176">
        <f>1469.5+183.4</f>
        <v>1652.9</v>
      </c>
      <c r="M5" s="176">
        <v>1726.4</v>
      </c>
      <c r="N5" s="176">
        <f>1601+61.8</f>
        <v>1662.8</v>
      </c>
      <c r="O5" s="176">
        <f>110.7+130.6+1665.4</f>
        <v>1906.7</v>
      </c>
      <c r="P5" s="176">
        <f>808.6+99.6+733.6</f>
        <v>1641.8000000000002</v>
      </c>
      <c r="Q5" s="176">
        <f>1037+135.6+740.1+0.6</f>
        <v>1913.2999999999997</v>
      </c>
      <c r="R5" s="174">
        <f t="shared" si="0"/>
        <v>19750.599999999999</v>
      </c>
      <c r="S5" s="324">
        <v>19449.7</v>
      </c>
      <c r="T5" s="324">
        <v>19104.7</v>
      </c>
      <c r="U5" s="335">
        <v>1686.6</v>
      </c>
      <c r="V5" s="335">
        <f>53+31.2+1608.9</f>
        <v>1693.1000000000001</v>
      </c>
      <c r="W5" s="335">
        <f>1519.6+46.9</f>
        <v>1566.5</v>
      </c>
      <c r="X5" s="335"/>
      <c r="Y5" s="335">
        <f>886.7+3.4+863.8-16.2+1794.7+3.1-0.8</f>
        <v>3534.7</v>
      </c>
      <c r="Z5" s="335">
        <v>876.9</v>
      </c>
      <c r="AA5" s="335">
        <v>2514.9</v>
      </c>
      <c r="AB5" s="335">
        <v>1867.9</v>
      </c>
      <c r="AC5" s="335">
        <f>11.3+154.6+1+125.4-125.5</f>
        <v>166.8</v>
      </c>
      <c r="AD5" s="335">
        <v>3506.3</v>
      </c>
      <c r="AE5" s="335">
        <f>849.6+3.3+872.4-38.8+4.6</f>
        <v>1691.1</v>
      </c>
      <c r="AF5" s="335">
        <f>10.9+27.8+355.1+2.6+369.9-92.8+505.6+2.1+556.6+16.9+1+0.4+1.7+0.6</f>
        <v>1758.3999999999999</v>
      </c>
      <c r="AG5" s="346">
        <f t="shared" si="1"/>
        <v>20863.199999999997</v>
      </c>
      <c r="AH5" s="335">
        <v>22060.400000000001</v>
      </c>
      <c r="AI5" s="335">
        <v>22060.400000000001</v>
      </c>
      <c r="AJ5" s="337">
        <f t="shared" ref="AJ5" si="7">AK5+AO5+AS5+AW5</f>
        <v>22060.400000000001</v>
      </c>
      <c r="AK5" s="160">
        <f t="shared" ref="AK5" si="8">AL5+AM5+AN5</f>
        <v>5375.1</v>
      </c>
      <c r="AL5" s="96">
        <v>1878.9</v>
      </c>
      <c r="AM5" s="96">
        <v>204.9</v>
      </c>
      <c r="AN5" s="96">
        <v>3291.3</v>
      </c>
      <c r="AO5" s="160">
        <f t="shared" ref="AO5:AO13" si="9">AP5+AQ5+AR5</f>
        <v>3661.7</v>
      </c>
      <c r="AP5" s="96">
        <v>1708</v>
      </c>
      <c r="AQ5" s="96">
        <v>1767.5</v>
      </c>
      <c r="AR5" s="96">
        <v>186.2</v>
      </c>
      <c r="AS5" s="160">
        <f t="shared" ref="AS5:AS13" si="10">AT5+AU5+AV5</f>
        <v>7250.2000000000007</v>
      </c>
      <c r="AT5" s="96">
        <v>3435.9</v>
      </c>
      <c r="AU5" s="96">
        <v>1890.7</v>
      </c>
      <c r="AV5" s="96">
        <v>1923.6</v>
      </c>
      <c r="AW5" s="160">
        <f t="shared" ref="AW5:AW28" si="11">AX5+AY5+AZ5</f>
        <v>5773.4</v>
      </c>
      <c r="AX5" s="96">
        <v>1918.2</v>
      </c>
      <c r="AY5" s="96">
        <v>212.8</v>
      </c>
      <c r="AZ5" s="96">
        <v>3642.4</v>
      </c>
      <c r="BA5" s="335">
        <f>5.8+0.7+839+2.4+1020.3-51.7+47.9+3-0.1</f>
        <v>1867.3</v>
      </c>
      <c r="BB5" s="335">
        <v>354.3</v>
      </c>
      <c r="BC5" s="335">
        <f>31.2+2.7+26.3-40.7+1441.4+777.9+3.2+820.3+16.4</f>
        <v>3078.7000000000003</v>
      </c>
      <c r="BD5" s="335">
        <f>13.8+11.2+883.4+4.6+940.2+34.7+0.6+0.6-1.2</f>
        <v>1887.8999999999999</v>
      </c>
      <c r="BE5" s="335">
        <f>887.3+4.9+899.5-67.4+0.5+0.7</f>
        <v>1725.4999999999998</v>
      </c>
      <c r="BF5" s="335">
        <f>22+14.4</f>
        <v>36.4</v>
      </c>
      <c r="BG5" s="335">
        <f>3566.3+55.2-0.1+33.4-6.4</f>
        <v>3648.4</v>
      </c>
      <c r="BH5" s="335">
        <v>1892.1</v>
      </c>
      <c r="BI5" s="335">
        <v>1808.7</v>
      </c>
      <c r="BJ5" s="335">
        <f>53+881.4+4.7+850.5+13.4+0.2+0.1+0.2</f>
        <v>1803.5</v>
      </c>
      <c r="BK5" s="335">
        <f>32.1+0.4+43.5-68.3+912.1+5.5+960.2+12.4</f>
        <v>1897.9</v>
      </c>
      <c r="BL5" s="335">
        <f>76.8+817.7+4.1+871.5+4.9+2.8+0.7</f>
        <v>1778.5</v>
      </c>
      <c r="BM5" s="346">
        <f>SUM(BA5:BL5)</f>
        <v>21779.200000000001</v>
      </c>
      <c r="BN5" s="335">
        <f t="shared" ref="BN5:BN28" si="12">BL5-AZ5</f>
        <v>-1863.9</v>
      </c>
      <c r="BO5" s="170">
        <f>BM5/AH5*100</f>
        <v>98.725317763957136</v>
      </c>
      <c r="BP5" s="102">
        <f t="shared" si="2"/>
        <v>-281.20000000000073</v>
      </c>
      <c r="BQ5" s="186">
        <f>BM5/AI5*100</f>
        <v>98.725317763957136</v>
      </c>
      <c r="BR5" s="266">
        <f t="shared" si="3"/>
        <v>-281.20000000000073</v>
      </c>
      <c r="BS5" s="186">
        <f t="shared" si="4"/>
        <v>104.39050577092681</v>
      </c>
      <c r="BT5" s="186">
        <f t="shared" si="5"/>
        <v>916.00000000000364</v>
      </c>
      <c r="BU5" s="186"/>
      <c r="BV5" s="549">
        <v>22060.400000000001</v>
      </c>
      <c r="BW5" s="550">
        <f t="shared" si="6"/>
        <v>0</v>
      </c>
    </row>
    <row r="6" spans="1:75" s="14" customFormat="1" ht="22.5" outlineLevel="2" x14ac:dyDescent="0.25">
      <c r="A6" s="5" t="s">
        <v>9</v>
      </c>
      <c r="B6" s="195" t="s">
        <v>346</v>
      </c>
      <c r="C6" s="137"/>
      <c r="D6" s="36">
        <v>9211.6</v>
      </c>
      <c r="E6" s="379">
        <v>12727.5</v>
      </c>
      <c r="F6" s="176">
        <v>965.5</v>
      </c>
      <c r="G6" s="176">
        <v>-464</v>
      </c>
      <c r="H6" s="176">
        <f>1007.8+299.2+79.4</f>
        <v>1386.4</v>
      </c>
      <c r="I6" s="176">
        <f>28.7+53.2+1339.5+2075.7+1438.2+1230.3-12.6</f>
        <v>6153</v>
      </c>
      <c r="J6" s="176">
        <v>930</v>
      </c>
      <c r="K6" s="176">
        <f>191.4+62.2</f>
        <v>253.60000000000002</v>
      </c>
      <c r="L6" s="176">
        <f>54.2-41.4+1757.8+622.1</f>
        <v>2392.6999999999998</v>
      </c>
      <c r="M6" s="176">
        <v>134.69999999999999</v>
      </c>
      <c r="N6" s="176">
        <f>264.4-22.7</f>
        <v>241.7</v>
      </c>
      <c r="O6" s="176">
        <f>9.2+73.5+2594.8-6.6+250.6</f>
        <v>2921.5</v>
      </c>
      <c r="P6" s="176">
        <f>69.9-401</f>
        <v>-331.1</v>
      </c>
      <c r="Q6" s="176">
        <f>0.3+97.6+1.1</f>
        <v>98.999999999999986</v>
      </c>
      <c r="R6" s="174">
        <f t="shared" si="0"/>
        <v>14683.000000000002</v>
      </c>
      <c r="S6" s="324">
        <v>17406.8</v>
      </c>
      <c r="T6" s="324">
        <f t="shared" ref="T6:T70" si="13">U6+V6+W6+X6+Y6+Z6+AA6+AB6+AC6+AD6+AE6</f>
        <v>17207.699999999997</v>
      </c>
      <c r="U6" s="335">
        <v>52.6</v>
      </c>
      <c r="V6" s="335">
        <f>0.7+260.3+136.6</f>
        <v>397.6</v>
      </c>
      <c r="W6" s="335">
        <f>1937.1+68.1+229.5</f>
        <v>2234.6999999999998</v>
      </c>
      <c r="X6" s="335">
        <f>1016.9-32.6-67.8</f>
        <v>916.5</v>
      </c>
      <c r="Y6" s="335">
        <f>2.2+5381.3</f>
        <v>5383.5</v>
      </c>
      <c r="Z6" s="335">
        <v>1488</v>
      </c>
      <c r="AA6" s="335">
        <f>2995.2+12.9-4.9</f>
        <v>3003.2</v>
      </c>
      <c r="AB6" s="335">
        <v>106.2</v>
      </c>
      <c r="AC6" s="335">
        <f>0.3+104.9+67.8</f>
        <v>173</v>
      </c>
      <c r="AD6" s="335">
        <v>3341.1</v>
      </c>
      <c r="AE6" s="335">
        <v>111.3</v>
      </c>
      <c r="AF6" s="335">
        <f>173-2.2+0.1</f>
        <v>170.9</v>
      </c>
      <c r="AG6" s="346">
        <f t="shared" si="1"/>
        <v>17378.599999999999</v>
      </c>
      <c r="AH6" s="335">
        <v>18411.400000000001</v>
      </c>
      <c r="AI6" s="335">
        <v>18411.400000000001</v>
      </c>
      <c r="AJ6" s="337">
        <f>AK6+AO6+AS6+AW6</f>
        <v>18411.400000000001</v>
      </c>
      <c r="AK6" s="160">
        <f>AL6+AM6+AN6</f>
        <v>2000</v>
      </c>
      <c r="AL6" s="96">
        <v>50</v>
      </c>
      <c r="AM6" s="96">
        <v>250</v>
      </c>
      <c r="AN6" s="96">
        <v>1700</v>
      </c>
      <c r="AO6" s="160">
        <f t="shared" si="9"/>
        <v>5700</v>
      </c>
      <c r="AP6" s="96">
        <v>800</v>
      </c>
      <c r="AQ6" s="96">
        <v>3500</v>
      </c>
      <c r="AR6" s="96">
        <v>1400</v>
      </c>
      <c r="AS6" s="160">
        <f t="shared" si="10"/>
        <v>2910</v>
      </c>
      <c r="AT6" s="96">
        <v>1800</v>
      </c>
      <c r="AU6" s="96">
        <v>110</v>
      </c>
      <c r="AV6" s="96">
        <v>1000</v>
      </c>
      <c r="AW6" s="160">
        <f t="shared" si="11"/>
        <v>7801.4</v>
      </c>
      <c r="AX6" s="96">
        <v>2100</v>
      </c>
      <c r="AY6" s="96">
        <v>3500</v>
      </c>
      <c r="AZ6" s="96">
        <v>2201.4</v>
      </c>
      <c r="BA6" s="335">
        <f>52.2-90-17.6</f>
        <v>-55.4</v>
      </c>
      <c r="BB6" s="335">
        <v>-43</v>
      </c>
      <c r="BC6" s="335">
        <f>249.6+1036.3+162.8+23.9+21.6</f>
        <v>1494.1999999999998</v>
      </c>
      <c r="BD6" s="335">
        <f>5582.5+1617.1+685.3+693+139.3+12+8.2</f>
        <v>8737.4000000000015</v>
      </c>
      <c r="BE6" s="335">
        <f>2.7+448.1+2.9+1.4</f>
        <v>455.09999999999997</v>
      </c>
      <c r="BF6" s="335">
        <f>360.8+3.6+873.3+72.6+4.4+0.3+113.6</f>
        <v>1428.6</v>
      </c>
      <c r="BG6" s="335">
        <f>3447.6+30.5+35.6+3</f>
        <v>3516.7</v>
      </c>
      <c r="BH6" s="335">
        <v>543.9</v>
      </c>
      <c r="BI6" s="335">
        <v>281</v>
      </c>
      <c r="BJ6" s="335">
        <f>506.5+149.5+3900.2+75.8</f>
        <v>4632</v>
      </c>
      <c r="BK6" s="335">
        <f>2.4+670.5+115.9+1.1+0.4</f>
        <v>790.3</v>
      </c>
      <c r="BL6" s="335">
        <f>12.2+0.9+1.8+3.7-0.4+43.8+3.2+1.2+0.7+7.2+10.7-0.4+6.1+14.2+3.5</f>
        <v>108.4</v>
      </c>
      <c r="BM6" s="346">
        <f t="shared" ref="BM6:BM28" si="14">SUM(BA6:BL6)</f>
        <v>21889.200000000001</v>
      </c>
      <c r="BN6" s="335">
        <f t="shared" si="12"/>
        <v>-2093</v>
      </c>
      <c r="BO6" s="170">
        <f>BM6/AH6*100</f>
        <v>118.88938375137144</v>
      </c>
      <c r="BP6" s="102">
        <f t="shared" si="2"/>
        <v>3477.7999999999993</v>
      </c>
      <c r="BQ6" s="186">
        <f>BM6/AI6*100</f>
        <v>118.88938375137144</v>
      </c>
      <c r="BR6" s="266">
        <f t="shared" si="3"/>
        <v>3477.7999999999993</v>
      </c>
      <c r="BS6" s="186">
        <f t="shared" si="4"/>
        <v>125.95491006180015</v>
      </c>
      <c r="BT6" s="186">
        <f t="shared" si="5"/>
        <v>4510.6000000000022</v>
      </c>
      <c r="BU6" s="186"/>
      <c r="BV6" s="550">
        <f>BM6</f>
        <v>21889.200000000001</v>
      </c>
      <c r="BW6" s="550">
        <f t="shared" si="6"/>
        <v>3477.7999999999993</v>
      </c>
    </row>
    <row r="7" spans="1:75" s="14" customFormat="1" ht="22.5" outlineLevel="2" x14ac:dyDescent="0.25">
      <c r="A7" s="5" t="s">
        <v>10</v>
      </c>
      <c r="B7" s="194" t="s">
        <v>103</v>
      </c>
      <c r="C7" s="137"/>
      <c r="D7" s="36">
        <v>2148.4</v>
      </c>
      <c r="E7" s="379">
        <v>65</v>
      </c>
      <c r="F7" s="176">
        <v>-225.4</v>
      </c>
      <c r="G7" s="176">
        <v>0</v>
      </c>
      <c r="H7" s="176">
        <f>1.3+8.6</f>
        <v>9.9</v>
      </c>
      <c r="I7" s="176">
        <f>15.8+13.9</f>
        <v>29.700000000000003</v>
      </c>
      <c r="J7" s="176"/>
      <c r="K7" s="176">
        <v>18.8</v>
      </c>
      <c r="L7" s="176">
        <v>14.9</v>
      </c>
      <c r="M7" s="176">
        <v>1.3</v>
      </c>
      <c r="N7" s="176"/>
      <c r="O7" s="176">
        <v>2.5</v>
      </c>
      <c r="P7" s="176"/>
      <c r="Q7" s="176">
        <f>2.3+4</f>
        <v>6.3</v>
      </c>
      <c r="R7" s="174">
        <f t="shared" si="0"/>
        <v>-141.99999999999997</v>
      </c>
      <c r="S7" s="324">
        <v>0</v>
      </c>
      <c r="T7" s="324">
        <f t="shared" si="13"/>
        <v>58.5</v>
      </c>
      <c r="U7" s="335">
        <v>33.9</v>
      </c>
      <c r="V7" s="335">
        <v>0.3</v>
      </c>
      <c r="W7" s="335"/>
      <c r="X7" s="335"/>
      <c r="Y7" s="335">
        <v>2.6</v>
      </c>
      <c r="Z7" s="335">
        <v>1.4</v>
      </c>
      <c r="AA7" s="335">
        <v>1</v>
      </c>
      <c r="AB7" s="335">
        <v>5.0999999999999996</v>
      </c>
      <c r="AC7" s="335"/>
      <c r="AD7" s="335">
        <v>10.1</v>
      </c>
      <c r="AE7" s="335">
        <v>4.0999999999999996</v>
      </c>
      <c r="AF7" s="335">
        <v>0.9</v>
      </c>
      <c r="AG7" s="346">
        <f t="shared" si="1"/>
        <v>59.4</v>
      </c>
      <c r="AH7" s="335">
        <v>0</v>
      </c>
      <c r="AI7" s="335">
        <v>0</v>
      </c>
      <c r="AJ7" s="337">
        <f t="shared" ref="AJ7:AJ13" si="15">AK7+AO7+AS7+AW7</f>
        <v>0</v>
      </c>
      <c r="AK7" s="356">
        <f t="shared" ref="AK7:AK13" si="16">AL7+AM7+AN7</f>
        <v>0</v>
      </c>
      <c r="AL7" s="358"/>
      <c r="AM7" s="358">
        <v>0</v>
      </c>
      <c r="AN7" s="358"/>
      <c r="AO7" s="160">
        <f t="shared" si="9"/>
        <v>0</v>
      </c>
      <c r="AP7" s="358"/>
      <c r="AQ7" s="358"/>
      <c r="AR7" s="359"/>
      <c r="AS7" s="160">
        <f t="shared" si="10"/>
        <v>0</v>
      </c>
      <c r="AT7" s="359"/>
      <c r="AU7" s="359"/>
      <c r="AV7" s="359"/>
      <c r="AW7" s="357">
        <f t="shared" si="11"/>
        <v>0</v>
      </c>
      <c r="AX7" s="359"/>
      <c r="AY7" s="359"/>
      <c r="AZ7" s="359"/>
      <c r="BA7" s="335"/>
      <c r="BB7" s="335">
        <v>9.9</v>
      </c>
      <c r="BC7" s="335">
        <v>0.1</v>
      </c>
      <c r="BD7" s="335">
        <v>3.1</v>
      </c>
      <c r="BE7" s="335">
        <v>0.3</v>
      </c>
      <c r="BF7" s="335">
        <f>2.2+0.5</f>
        <v>2.7</v>
      </c>
      <c r="BG7" s="335">
        <v>3.7</v>
      </c>
      <c r="BH7" s="335">
        <v>3.2</v>
      </c>
      <c r="BI7" s="335">
        <v>0.4</v>
      </c>
      <c r="BJ7" s="335">
        <f>1.3+0.6</f>
        <v>1.9</v>
      </c>
      <c r="BK7" s="335">
        <v>0.3</v>
      </c>
      <c r="BL7" s="335">
        <f>3.4+2.2</f>
        <v>5.6</v>
      </c>
      <c r="BM7" s="346">
        <f t="shared" si="14"/>
        <v>31.199999999999996</v>
      </c>
      <c r="BN7" s="335">
        <f t="shared" si="12"/>
        <v>5.6</v>
      </c>
      <c r="BO7" s="170"/>
      <c r="BP7" s="102">
        <f t="shared" si="2"/>
        <v>31.199999999999996</v>
      </c>
      <c r="BQ7" s="186"/>
      <c r="BR7" s="266">
        <f t="shared" si="3"/>
        <v>31.199999999999996</v>
      </c>
      <c r="BS7" s="186">
        <f t="shared" si="4"/>
        <v>52.525252525252519</v>
      </c>
      <c r="BT7" s="186">
        <f t="shared" si="5"/>
        <v>-28.200000000000003</v>
      </c>
      <c r="BU7" s="186"/>
      <c r="BV7" s="549">
        <v>25.6</v>
      </c>
      <c r="BW7" s="550">
        <f t="shared" si="6"/>
        <v>25.6</v>
      </c>
    </row>
    <row r="8" spans="1:75" s="14" customFormat="1" ht="22.5" outlineLevel="2" x14ac:dyDescent="0.3">
      <c r="A8" s="5" t="s">
        <v>11</v>
      </c>
      <c r="B8" s="194" t="s">
        <v>12</v>
      </c>
      <c r="C8" s="137"/>
      <c r="D8" s="36">
        <v>258.39999999999998</v>
      </c>
      <c r="E8" s="379">
        <v>139.6</v>
      </c>
      <c r="F8" s="176">
        <v>1</v>
      </c>
      <c r="G8" s="176"/>
      <c r="H8" s="176">
        <f>646.3+40.9</f>
        <v>687.19999999999993</v>
      </c>
      <c r="I8" s="176">
        <f>-119.9+31</f>
        <v>-88.9</v>
      </c>
      <c r="J8" s="176">
        <v>4.9000000000000004</v>
      </c>
      <c r="K8" s="176"/>
      <c r="L8" s="176">
        <v>0.5</v>
      </c>
      <c r="M8" s="176"/>
      <c r="N8" s="176"/>
      <c r="O8" s="176">
        <v>-5.0999999999999996</v>
      </c>
      <c r="P8" s="176">
        <f>-19.4-12.8</f>
        <v>-32.200000000000003</v>
      </c>
      <c r="Q8" s="176"/>
      <c r="R8" s="174">
        <f t="shared" si="0"/>
        <v>567.39999999999986</v>
      </c>
      <c r="S8" s="324">
        <v>2446.6</v>
      </c>
      <c r="T8" s="324">
        <f t="shared" si="13"/>
        <v>2446.6</v>
      </c>
      <c r="U8" s="335"/>
      <c r="V8" s="335"/>
      <c r="W8" s="335">
        <f>966.4+66.5+3.7</f>
        <v>1036.6000000000001</v>
      </c>
      <c r="X8" s="335">
        <v>16.5</v>
      </c>
      <c r="Y8" s="335">
        <v>10.8</v>
      </c>
      <c r="Z8" s="335"/>
      <c r="AA8" s="335">
        <v>1381.9</v>
      </c>
      <c r="AB8" s="335">
        <v>0.1</v>
      </c>
      <c r="AC8" s="335">
        <v>0.1</v>
      </c>
      <c r="AD8" s="335">
        <v>0.6</v>
      </c>
      <c r="AE8" s="335"/>
      <c r="AF8" s="335"/>
      <c r="AG8" s="346">
        <f t="shared" si="1"/>
        <v>2446.6</v>
      </c>
      <c r="AH8" s="335">
        <v>1437</v>
      </c>
      <c r="AI8" s="335">
        <v>1437</v>
      </c>
      <c r="AJ8" s="337">
        <f>AK8+AO8+AS8+AW8</f>
        <v>1437</v>
      </c>
      <c r="AK8" s="356">
        <f t="shared" si="16"/>
        <v>800</v>
      </c>
      <c r="AL8" s="389"/>
      <c r="AM8" s="389">
        <v>0</v>
      </c>
      <c r="AN8" s="389">
        <v>800</v>
      </c>
      <c r="AO8" s="160">
        <f t="shared" si="9"/>
        <v>0</v>
      </c>
      <c r="AP8" s="389"/>
      <c r="AQ8" s="389"/>
      <c r="AR8" s="96"/>
      <c r="AS8" s="160">
        <f t="shared" si="10"/>
        <v>637</v>
      </c>
      <c r="AT8" s="389">
        <v>637</v>
      </c>
      <c r="AU8" s="389"/>
      <c r="AV8" s="389">
        <f t="shared" ref="AV8" si="17">AW8+AX8+AY8</f>
        <v>0</v>
      </c>
      <c r="AW8" s="357">
        <f t="shared" si="11"/>
        <v>0</v>
      </c>
      <c r="AX8" s="390"/>
      <c r="AY8" s="390"/>
      <c r="AZ8" s="387"/>
      <c r="BA8" s="335"/>
      <c r="BB8" s="335"/>
      <c r="BC8" s="335">
        <f>57+561.8</f>
        <v>618.79999999999995</v>
      </c>
      <c r="BD8" s="335">
        <v>10.199999999999999</v>
      </c>
      <c r="BE8" s="335">
        <v>-8.6999999999999993</v>
      </c>
      <c r="BF8" s="335">
        <v>0.1</v>
      </c>
      <c r="BG8" s="335">
        <v>109.1</v>
      </c>
      <c r="BH8" s="335"/>
      <c r="BI8" s="335"/>
      <c r="BJ8" s="335"/>
      <c r="BK8" s="335"/>
      <c r="BL8" s="335"/>
      <c r="BM8" s="346">
        <f t="shared" si="14"/>
        <v>729.5</v>
      </c>
      <c r="BN8" s="335">
        <f t="shared" si="12"/>
        <v>0</v>
      </c>
      <c r="BO8" s="170">
        <f t="shared" ref="BO8:BO15" si="18">BM8/AH8*100</f>
        <v>50.765483646485734</v>
      </c>
      <c r="BP8" s="102">
        <f t="shared" si="2"/>
        <v>-707.5</v>
      </c>
      <c r="BQ8" s="186">
        <f t="shared" ref="BQ8:BQ23" si="19">BM8/AI8*100</f>
        <v>50.765483646485734</v>
      </c>
      <c r="BR8" s="266">
        <f t="shared" si="3"/>
        <v>-707.5</v>
      </c>
      <c r="BS8" s="186">
        <f t="shared" si="4"/>
        <v>29.816888743562497</v>
      </c>
      <c r="BT8" s="186">
        <f t="shared" si="5"/>
        <v>-1717.1</v>
      </c>
      <c r="BU8" s="186"/>
      <c r="BV8" s="549">
        <v>729.5</v>
      </c>
      <c r="BW8" s="550">
        <f t="shared" si="6"/>
        <v>-707.5</v>
      </c>
    </row>
    <row r="9" spans="1:75" s="14" customFormat="1" ht="32.25" customHeight="1" outlineLevel="2" x14ac:dyDescent="0.25">
      <c r="A9" s="5" t="s">
        <v>13</v>
      </c>
      <c r="B9" s="194" t="s">
        <v>224</v>
      </c>
      <c r="C9" s="137"/>
      <c r="D9" s="36">
        <v>2749.1</v>
      </c>
      <c r="E9" s="379">
        <v>2371.4</v>
      </c>
      <c r="F9" s="176">
        <v>-13.6</v>
      </c>
      <c r="G9" s="176">
        <v>-147.9</v>
      </c>
      <c r="H9" s="176">
        <f>18.8+46.9-0.1</f>
        <v>65.600000000000009</v>
      </c>
      <c r="I9" s="176">
        <f>1095.1-0.1-36.1</f>
        <v>1058.9000000000001</v>
      </c>
      <c r="J9" s="176">
        <v>3.2</v>
      </c>
      <c r="K9" s="176">
        <f>2.7+44.1</f>
        <v>46.800000000000004</v>
      </c>
      <c r="L9" s="176">
        <f>4.9+100.4+13.1</f>
        <v>118.4</v>
      </c>
      <c r="M9" s="176">
        <v>42.3</v>
      </c>
      <c r="N9" s="176">
        <v>10</v>
      </c>
      <c r="O9" s="176">
        <f>-92.3+20.1+9.4</f>
        <v>-62.79999999999999</v>
      </c>
      <c r="P9" s="176">
        <f>4-59.6+7.9</f>
        <v>-47.7</v>
      </c>
      <c r="Q9" s="176">
        <f>-500-123-8.6-1.4-1.5</f>
        <v>-634.5</v>
      </c>
      <c r="R9" s="174">
        <f t="shared" si="0"/>
        <v>438.70000000000005</v>
      </c>
      <c r="S9" s="324">
        <v>3292.3</v>
      </c>
      <c r="T9" s="324">
        <f t="shared" si="13"/>
        <v>3300.5</v>
      </c>
      <c r="U9" s="335">
        <f>22.4+2158.7</f>
        <v>2181.1</v>
      </c>
      <c r="V9" s="335">
        <v>11.4</v>
      </c>
      <c r="W9" s="335">
        <v>-7.1</v>
      </c>
      <c r="X9" s="335">
        <f>1039.1-4.8</f>
        <v>1034.3</v>
      </c>
      <c r="Y9" s="335">
        <v>27</v>
      </c>
      <c r="Z9" s="335">
        <v>-5.2</v>
      </c>
      <c r="AA9" s="335">
        <f>27.5+10.3+13.6</f>
        <v>51.4</v>
      </c>
      <c r="AB9" s="335">
        <v>4.9000000000000004</v>
      </c>
      <c r="AC9" s="335">
        <f>3.9-25+0.2</f>
        <v>-20.900000000000002</v>
      </c>
      <c r="AD9" s="335">
        <v>23.6</v>
      </c>
      <c r="AE9" s="335">
        <v>0</v>
      </c>
      <c r="AF9" s="335">
        <f>-27.6-17</f>
        <v>-44.6</v>
      </c>
      <c r="AG9" s="346">
        <f t="shared" si="1"/>
        <v>3255.9</v>
      </c>
      <c r="AH9" s="335">
        <v>5218.5</v>
      </c>
      <c r="AI9" s="335">
        <v>5218.5</v>
      </c>
      <c r="AJ9" s="337">
        <f t="shared" si="15"/>
        <v>5218.5</v>
      </c>
      <c r="AK9" s="356">
        <f t="shared" si="16"/>
        <v>2100</v>
      </c>
      <c r="AL9" s="96">
        <v>2100</v>
      </c>
      <c r="AM9" s="96">
        <v>0</v>
      </c>
      <c r="AN9" s="96"/>
      <c r="AO9" s="160">
        <f t="shared" si="9"/>
        <v>1050</v>
      </c>
      <c r="AP9" s="96">
        <v>1050</v>
      </c>
      <c r="AQ9" s="96"/>
      <c r="AR9" s="96">
        <v>0</v>
      </c>
      <c r="AS9" s="160">
        <f t="shared" si="10"/>
        <v>50</v>
      </c>
      <c r="AT9" s="96">
        <v>50</v>
      </c>
      <c r="AU9" s="96"/>
      <c r="AV9" s="96"/>
      <c r="AW9" s="357">
        <f t="shared" si="11"/>
        <v>2018.5</v>
      </c>
      <c r="AX9" s="96"/>
      <c r="AY9" s="161"/>
      <c r="AZ9" s="96">
        <v>2018.5</v>
      </c>
      <c r="BA9" s="335">
        <f>17.8+1909.4-56.1</f>
        <v>1871.1000000000001</v>
      </c>
      <c r="BB9" s="335">
        <f>0.8-29.3+2.1</f>
        <v>-26.4</v>
      </c>
      <c r="BC9" s="335">
        <v>-13.8</v>
      </c>
      <c r="BD9" s="335">
        <v>939.4</v>
      </c>
      <c r="BE9" s="335">
        <v>-31.1</v>
      </c>
      <c r="BF9" s="335">
        <f>67.4+6.9</f>
        <v>74.300000000000011</v>
      </c>
      <c r="BG9" s="335">
        <f>-12+0.1+6.8</f>
        <v>-5.1000000000000005</v>
      </c>
      <c r="BH9" s="335">
        <v>70.2</v>
      </c>
      <c r="BI9" s="335">
        <v>17.7</v>
      </c>
      <c r="BJ9" s="335">
        <v>53.9</v>
      </c>
      <c r="BK9" s="335">
        <f>7.9-9.3</f>
        <v>-1.4000000000000004</v>
      </c>
      <c r="BL9" s="335">
        <f>-9.6-13+1613.1+89.8+42.4+19.5</f>
        <v>1742.2</v>
      </c>
      <c r="BM9" s="346">
        <f t="shared" si="14"/>
        <v>4691</v>
      </c>
      <c r="BN9" s="335">
        <f t="shared" si="12"/>
        <v>-276.29999999999995</v>
      </c>
      <c r="BO9" s="170">
        <f t="shared" si="18"/>
        <v>89.89173134042349</v>
      </c>
      <c r="BP9" s="102">
        <f t="shared" si="2"/>
        <v>-527.5</v>
      </c>
      <c r="BQ9" s="186">
        <f t="shared" si="19"/>
        <v>89.89173134042349</v>
      </c>
      <c r="BR9" s="266">
        <f t="shared" si="3"/>
        <v>-527.5</v>
      </c>
      <c r="BS9" s="186">
        <f t="shared" si="4"/>
        <v>144.07690653889861</v>
      </c>
      <c r="BT9" s="186">
        <f t="shared" si="5"/>
        <v>1435.1</v>
      </c>
      <c r="BU9" s="186"/>
      <c r="BV9" s="550">
        <f>BM9</f>
        <v>4691</v>
      </c>
      <c r="BW9" s="550">
        <f t="shared" si="6"/>
        <v>-527.5</v>
      </c>
    </row>
    <row r="10" spans="1:75" s="14" customFormat="1" ht="22.5" outlineLevel="2" x14ac:dyDescent="0.25">
      <c r="A10" s="5" t="s">
        <v>14</v>
      </c>
      <c r="B10" s="194" t="s">
        <v>15</v>
      </c>
      <c r="C10" s="137"/>
      <c r="D10" s="36">
        <v>6346.4</v>
      </c>
      <c r="E10" s="379">
        <v>8501.2999999999993</v>
      </c>
      <c r="F10" s="176">
        <v>398</v>
      </c>
      <c r="G10" s="176">
        <v>-60.9</v>
      </c>
      <c r="H10" s="176">
        <f>35.3+130.2+3.3</f>
        <v>168.8</v>
      </c>
      <c r="I10" s="176">
        <f>29.6-38+0.4</f>
        <v>-7.9999999999999982</v>
      </c>
      <c r="J10" s="176">
        <v>45.5</v>
      </c>
      <c r="K10" s="176">
        <f>0.3+9.9</f>
        <v>10.200000000000001</v>
      </c>
      <c r="L10" s="176">
        <f>1.4+157.9+3.2+0.8</f>
        <v>163.30000000000001</v>
      </c>
      <c r="M10" s="176">
        <v>71.900000000000006</v>
      </c>
      <c r="N10" s="176">
        <f>19.5+116.2</f>
        <v>135.69999999999999</v>
      </c>
      <c r="O10" s="176">
        <f>646.2+2421.4+147.8+102.5</f>
        <v>3317.9000000000005</v>
      </c>
      <c r="P10" s="176">
        <f>65.7+2213.6+154.7</f>
        <v>2433.9999999999995</v>
      </c>
      <c r="Q10" s="176">
        <f>116.8+1071.1-15.2+4.1+5.5+25.1+5.2+7.2</f>
        <v>1219.7999999999997</v>
      </c>
      <c r="R10" s="174">
        <f t="shared" si="0"/>
        <v>7896.1999999999989</v>
      </c>
      <c r="S10" s="324">
        <v>9874.7000000000007</v>
      </c>
      <c r="T10" s="324">
        <f t="shared" si="13"/>
        <v>7152.4</v>
      </c>
      <c r="U10" s="335">
        <f>3.5+528.8</f>
        <v>532.29999999999995</v>
      </c>
      <c r="V10" s="335">
        <f>1.4+203.3</f>
        <v>204.70000000000002</v>
      </c>
      <c r="W10" s="335">
        <f>49.4-15.4</f>
        <v>34</v>
      </c>
      <c r="X10" s="335">
        <f>2.7+109.7</f>
        <v>112.4</v>
      </c>
      <c r="Y10" s="335">
        <f>1.1+148.9</f>
        <v>150</v>
      </c>
      <c r="Z10" s="335">
        <v>33.1</v>
      </c>
      <c r="AA10" s="335">
        <f>-29.7+0.5</f>
        <v>-29.2</v>
      </c>
      <c r="AB10" s="335">
        <v>56.2</v>
      </c>
      <c r="AC10" s="335">
        <f>27.1+201.3+1153.2+163.1</f>
        <v>1544.7</v>
      </c>
      <c r="AD10" s="335">
        <v>1688.7</v>
      </c>
      <c r="AE10" s="335">
        <f>40.3+2785.2</f>
        <v>2825.5</v>
      </c>
      <c r="AF10" s="335">
        <f>15.3+1237+13.6+26.4+5.9+13.9+0.1+63.5</f>
        <v>1375.7</v>
      </c>
      <c r="AG10" s="346">
        <f t="shared" si="1"/>
        <v>8528.1</v>
      </c>
      <c r="AH10" s="335">
        <v>9663.7999999999993</v>
      </c>
      <c r="AI10" s="335">
        <v>9663.7999999999993</v>
      </c>
      <c r="AJ10" s="337">
        <f t="shared" si="15"/>
        <v>9663.7999999999993</v>
      </c>
      <c r="AK10" s="356">
        <f t="shared" si="16"/>
        <v>300</v>
      </c>
      <c r="AL10" s="96">
        <v>100</v>
      </c>
      <c r="AM10" s="96">
        <v>100</v>
      </c>
      <c r="AN10" s="96">
        <v>100</v>
      </c>
      <c r="AO10" s="160">
        <f t="shared" si="9"/>
        <v>100</v>
      </c>
      <c r="AP10" s="96">
        <v>50</v>
      </c>
      <c r="AQ10" s="96">
        <v>50</v>
      </c>
      <c r="AR10" s="96"/>
      <c r="AS10" s="160">
        <f t="shared" si="10"/>
        <v>550</v>
      </c>
      <c r="AT10" s="96"/>
      <c r="AU10" s="96">
        <v>50</v>
      </c>
      <c r="AV10" s="96">
        <v>500</v>
      </c>
      <c r="AW10" s="357">
        <f t="shared" si="11"/>
        <v>8713.7999999999993</v>
      </c>
      <c r="AX10" s="96">
        <v>1500</v>
      </c>
      <c r="AY10" s="161">
        <v>6000</v>
      </c>
      <c r="AZ10" s="96">
        <v>1213.8</v>
      </c>
      <c r="BA10" s="335">
        <f>0.8+401.2+18.8+3+43+5.8</f>
        <v>472.6</v>
      </c>
      <c r="BB10" s="335">
        <v>121.9</v>
      </c>
      <c r="BC10" s="335">
        <f>1.1+171.3+138</f>
        <v>310.39999999999998</v>
      </c>
      <c r="BD10" s="335">
        <f>5.8+58.9</f>
        <v>64.7</v>
      </c>
      <c r="BE10" s="335">
        <f>0.3+30.6+0.2</f>
        <v>31.1</v>
      </c>
      <c r="BF10" s="335">
        <f>1.3+12.9+4.8+1.5</f>
        <v>20.5</v>
      </c>
      <c r="BG10" s="335">
        <v>19.2</v>
      </c>
      <c r="BH10" s="335">
        <v>28.2</v>
      </c>
      <c r="BI10" s="335">
        <v>1628.5</v>
      </c>
      <c r="BJ10" s="335">
        <f>1911-321.2+32+16.2</f>
        <v>1638</v>
      </c>
      <c r="BK10" s="335">
        <f>380.3+2048.2+163.7+440.1</f>
        <v>3032.2999999999997</v>
      </c>
      <c r="BL10" s="335">
        <f>21.5+110+98.6+61.4+42.5+97.7+73.7+9.6+35.8+17.3+26.6+54.9+9.5+12.1+25.3+137.7+19.3+17.1+4.7+79.1-12.6+0.6-12.2</f>
        <v>930.19999999999982</v>
      </c>
      <c r="BM10" s="346">
        <f t="shared" si="14"/>
        <v>8297.5999999999985</v>
      </c>
      <c r="BN10" s="335">
        <f t="shared" si="12"/>
        <v>-283.60000000000014</v>
      </c>
      <c r="BO10" s="170">
        <f t="shared" si="18"/>
        <v>85.862704112253979</v>
      </c>
      <c r="BP10" s="102">
        <f t="shared" si="2"/>
        <v>-1366.2000000000007</v>
      </c>
      <c r="BQ10" s="186">
        <f t="shared" si="19"/>
        <v>85.862704112253979</v>
      </c>
      <c r="BR10" s="266">
        <f t="shared" si="3"/>
        <v>-1366.2000000000007</v>
      </c>
      <c r="BS10" s="186">
        <f t="shared" si="4"/>
        <v>97.297170530364312</v>
      </c>
      <c r="BT10" s="186">
        <f t="shared" si="5"/>
        <v>-230.50000000000182</v>
      </c>
      <c r="BU10" s="186"/>
      <c r="BV10" s="550">
        <v>8000</v>
      </c>
      <c r="BW10" s="550">
        <f t="shared" si="6"/>
        <v>-1663.7999999999993</v>
      </c>
    </row>
    <row r="11" spans="1:75" s="14" customFormat="1" ht="22.5" outlineLevel="3" x14ac:dyDescent="0.25">
      <c r="A11" s="5" t="s">
        <v>16</v>
      </c>
      <c r="B11" s="194" t="s">
        <v>17</v>
      </c>
      <c r="C11" s="137"/>
      <c r="D11" s="36">
        <v>16585.7</v>
      </c>
      <c r="E11" s="379">
        <v>15650.2</v>
      </c>
      <c r="F11" s="176">
        <v>12.4</v>
      </c>
      <c r="G11" s="176">
        <v>-0.1</v>
      </c>
      <c r="H11" s="176">
        <f>18.7+3921.2</f>
        <v>3939.8999999999996</v>
      </c>
      <c r="I11" s="176">
        <f>2381.3+120.1+216.7</f>
        <v>2718.1</v>
      </c>
      <c r="J11" s="176">
        <v>96.4</v>
      </c>
      <c r="K11" s="176">
        <f>186.1-17.7</f>
        <v>168.4</v>
      </c>
      <c r="L11" s="176">
        <f>4.4+92.9+548.9+174.9</f>
        <v>821.1</v>
      </c>
      <c r="M11" s="176">
        <v>194.4</v>
      </c>
      <c r="N11" s="176">
        <f>42.1-1893.7</f>
        <v>-1851.6000000000001</v>
      </c>
      <c r="O11" s="176">
        <f>-411.8-9599-5909.7-878.5</f>
        <v>-16799</v>
      </c>
      <c r="P11" s="176">
        <f>-5206.1-228.1+18.6</f>
        <v>-5415.6</v>
      </c>
      <c r="Q11" s="176">
        <f>4+629.6</f>
        <v>633.6</v>
      </c>
      <c r="R11" s="174">
        <f t="shared" si="0"/>
        <v>-15482.000000000002</v>
      </c>
      <c r="S11" s="324">
        <v>6631.9</v>
      </c>
      <c r="T11" s="324">
        <f t="shared" si="13"/>
        <v>5362.5999999999995</v>
      </c>
      <c r="U11" s="336">
        <v>9</v>
      </c>
      <c r="V11" s="336">
        <f>998.2-10.8+240</f>
        <v>1227.4000000000001</v>
      </c>
      <c r="W11" s="336">
        <f>44.2+73.3</f>
        <v>117.5</v>
      </c>
      <c r="X11" s="336">
        <v>-31.7</v>
      </c>
      <c r="Y11" s="335">
        <v>831.9</v>
      </c>
      <c r="Z11" s="336">
        <v>-221.1</v>
      </c>
      <c r="AA11" s="336">
        <f>1568.6+2.3</f>
        <v>1570.8999999999999</v>
      </c>
      <c r="AB11" s="335">
        <v>173.4</v>
      </c>
      <c r="AC11" s="336">
        <f>4+7.4</f>
        <v>11.4</v>
      </c>
      <c r="AD11" s="335">
        <v>1653.6</v>
      </c>
      <c r="AE11" s="335">
        <v>20.3</v>
      </c>
      <c r="AF11" s="335">
        <f>14.4+22.6+0.4</f>
        <v>37.4</v>
      </c>
      <c r="AG11" s="346">
        <f>U11+V11+W11+X11+Y11+Z11+AA11+AB11+AC11+AF11+AE11+AD11</f>
        <v>5400</v>
      </c>
      <c r="AH11" s="335">
        <v>4804.8</v>
      </c>
      <c r="AI11" s="335">
        <v>4804.8</v>
      </c>
      <c r="AJ11" s="337">
        <f t="shared" si="15"/>
        <v>4804.8</v>
      </c>
      <c r="AK11" s="356">
        <f t="shared" si="16"/>
        <v>1200</v>
      </c>
      <c r="AL11" s="96"/>
      <c r="AM11" s="96">
        <v>800</v>
      </c>
      <c r="AN11" s="96">
        <v>400</v>
      </c>
      <c r="AO11" s="160">
        <f t="shared" si="9"/>
        <v>1154.8</v>
      </c>
      <c r="AP11" s="96">
        <v>150</v>
      </c>
      <c r="AQ11" s="96">
        <v>850</v>
      </c>
      <c r="AR11" s="96">
        <v>154.80000000000001</v>
      </c>
      <c r="AS11" s="160">
        <f t="shared" si="10"/>
        <v>1100</v>
      </c>
      <c r="AT11" s="96">
        <v>1000</v>
      </c>
      <c r="AU11" s="96">
        <v>100</v>
      </c>
      <c r="AV11" s="96"/>
      <c r="AW11" s="357">
        <f t="shared" si="11"/>
        <v>1350</v>
      </c>
      <c r="AX11" s="96">
        <v>1000</v>
      </c>
      <c r="AY11" s="161">
        <v>200</v>
      </c>
      <c r="AZ11" s="96">
        <v>150</v>
      </c>
      <c r="BA11" s="336">
        <v>5.8</v>
      </c>
      <c r="BB11" s="335">
        <v>1615.5</v>
      </c>
      <c r="BC11" s="335">
        <v>241.4</v>
      </c>
      <c r="BD11" s="335">
        <f>842.4+75.3+485.5+37.7</f>
        <v>1440.8999999999999</v>
      </c>
      <c r="BE11" s="335">
        <f>2.7+599.5</f>
        <v>602.20000000000005</v>
      </c>
      <c r="BF11" s="335">
        <v>126.3</v>
      </c>
      <c r="BG11" s="335">
        <f>38.3+1403.4+2.3</f>
        <v>1444</v>
      </c>
      <c r="BH11" s="335">
        <v>147.80000000000001</v>
      </c>
      <c r="BI11" s="335">
        <v>0.9</v>
      </c>
      <c r="BJ11" s="335">
        <f>192.8+1226.6+67.9+3.1</f>
        <v>1490.3999999999999</v>
      </c>
      <c r="BK11" s="335">
        <v>32.299999999999997</v>
      </c>
      <c r="BL11" s="335">
        <f>5.9+43+3.1+1.2+4+3.5</f>
        <v>60.7</v>
      </c>
      <c r="BM11" s="346">
        <f t="shared" si="14"/>
        <v>7208.2</v>
      </c>
      <c r="BN11" s="335">
        <f t="shared" si="12"/>
        <v>-89.3</v>
      </c>
      <c r="BO11" s="170">
        <f t="shared" si="18"/>
        <v>150.02081252081251</v>
      </c>
      <c r="BP11" s="102">
        <f t="shared" si="2"/>
        <v>2403.3999999999996</v>
      </c>
      <c r="BQ11" s="186">
        <f t="shared" si="19"/>
        <v>150.02081252081251</v>
      </c>
      <c r="BR11" s="266">
        <f t="shared" si="3"/>
        <v>2403.3999999999996</v>
      </c>
      <c r="BS11" s="186">
        <f t="shared" si="4"/>
        <v>133.48518518518517</v>
      </c>
      <c r="BT11" s="186">
        <f t="shared" si="5"/>
        <v>1808.1999999999998</v>
      </c>
      <c r="BU11" s="186"/>
      <c r="BV11" s="550">
        <f>BM11</f>
        <v>7208.2</v>
      </c>
      <c r="BW11" s="550">
        <f t="shared" si="6"/>
        <v>2403.3999999999996</v>
      </c>
    </row>
    <row r="12" spans="1:75" s="14" customFormat="1" ht="22.5" outlineLevel="3" x14ac:dyDescent="0.25">
      <c r="A12" s="5" t="s">
        <v>18</v>
      </c>
      <c r="B12" s="194" t="s">
        <v>19</v>
      </c>
      <c r="C12" s="137"/>
      <c r="D12" s="36">
        <v>11455</v>
      </c>
      <c r="E12" s="379">
        <v>11687.7</v>
      </c>
      <c r="F12" s="176">
        <v>-151.30000000000001</v>
      </c>
      <c r="G12" s="176">
        <v>-45</v>
      </c>
      <c r="H12" s="176">
        <f>37.9+365.3+4.8</f>
        <v>408</v>
      </c>
      <c r="I12" s="176">
        <f>11.9+30+2.7</f>
        <v>44.6</v>
      </c>
      <c r="J12" s="176">
        <v>76.099999999999994</v>
      </c>
      <c r="K12" s="176">
        <f>63.2+1.9</f>
        <v>65.100000000000009</v>
      </c>
      <c r="L12" s="176">
        <f>4.5+89.5+2.2+2.6</f>
        <v>98.8</v>
      </c>
      <c r="M12" s="176">
        <v>96.1</v>
      </c>
      <c r="N12" s="176">
        <f>90.8+1131.4</f>
        <v>1222.2</v>
      </c>
      <c r="O12" s="176">
        <f>614.9+3295.2+223+126.2</f>
        <v>4259.3</v>
      </c>
      <c r="P12" s="176">
        <f>194.6+3665.9+180.2</f>
        <v>4040.7</v>
      </c>
      <c r="Q12" s="176">
        <f>87.2+1249.2+26.9+9.2+39.7+18.2+44.7+22</f>
        <v>1497.1000000000004</v>
      </c>
      <c r="R12" s="174">
        <f t="shared" si="0"/>
        <v>11611.699999999999</v>
      </c>
      <c r="S12" s="324">
        <v>13838</v>
      </c>
      <c r="T12" s="324">
        <f t="shared" si="13"/>
        <v>10099.6</v>
      </c>
      <c r="U12" s="336">
        <f>7.2+232</f>
        <v>239.2</v>
      </c>
      <c r="V12" s="336">
        <f>0.9+207.3+11.9</f>
        <v>220.10000000000002</v>
      </c>
      <c r="W12" s="336">
        <f>176.5-4.7</f>
        <v>171.8</v>
      </c>
      <c r="X12" s="336">
        <v>161.5</v>
      </c>
      <c r="Y12" s="335">
        <f>1.1+91.7+7.7</f>
        <v>100.5</v>
      </c>
      <c r="Z12" s="336">
        <v>218.3</v>
      </c>
      <c r="AA12" s="336">
        <f>176.9+1.7</f>
        <v>178.6</v>
      </c>
      <c r="AB12" s="335">
        <v>135.4</v>
      </c>
      <c r="AC12" s="336">
        <f>114.9+590.5+664.7+283.4</f>
        <v>1653.5</v>
      </c>
      <c r="AD12" s="335">
        <v>3206</v>
      </c>
      <c r="AE12" s="335">
        <f>149.9+3664.8</f>
        <v>3814.7000000000003</v>
      </c>
      <c r="AF12" s="335">
        <f>39.1+1598.4+38.3+71.2+40.6+18.4+23.5</f>
        <v>1829.5</v>
      </c>
      <c r="AG12" s="346">
        <f>U12+V12+W12+X12+Y12+Z12+AA12+AB12+AC12+AF12+AE12+AD12</f>
        <v>11929.1</v>
      </c>
      <c r="AH12" s="335">
        <v>13580.6</v>
      </c>
      <c r="AI12" s="335">
        <v>13580.6</v>
      </c>
      <c r="AJ12" s="337">
        <f t="shared" si="15"/>
        <v>13580.6</v>
      </c>
      <c r="AK12" s="356">
        <f t="shared" si="16"/>
        <v>400</v>
      </c>
      <c r="AL12" s="96">
        <v>200</v>
      </c>
      <c r="AM12" s="96">
        <v>200</v>
      </c>
      <c r="AN12" s="96"/>
      <c r="AO12" s="160">
        <f t="shared" si="9"/>
        <v>200</v>
      </c>
      <c r="AP12" s="96"/>
      <c r="AQ12" s="96">
        <v>100</v>
      </c>
      <c r="AR12" s="96">
        <v>100</v>
      </c>
      <c r="AS12" s="160">
        <f t="shared" si="10"/>
        <v>1500</v>
      </c>
      <c r="AT12" s="96">
        <v>100</v>
      </c>
      <c r="AU12" s="96">
        <v>100</v>
      </c>
      <c r="AV12" s="96">
        <v>1300</v>
      </c>
      <c r="AW12" s="357">
        <f t="shared" si="11"/>
        <v>11480.6</v>
      </c>
      <c r="AX12" s="96">
        <v>3000</v>
      </c>
      <c r="AY12" s="161">
        <v>5000</v>
      </c>
      <c r="AZ12" s="96">
        <v>3480.6</v>
      </c>
      <c r="BA12" s="335">
        <f>11.2+175.5+20.3+5.2+25.4+10.8</f>
        <v>248.4</v>
      </c>
      <c r="BB12" s="335">
        <v>269.8</v>
      </c>
      <c r="BC12" s="335">
        <f>26.1+131.4+2</f>
        <v>159.5</v>
      </c>
      <c r="BD12" s="335">
        <f>5.5+84.3+1.6+0.5+6.2</f>
        <v>98.1</v>
      </c>
      <c r="BE12" s="335">
        <f>4.8+51.6+3.1+3.4</f>
        <v>62.9</v>
      </c>
      <c r="BF12" s="335">
        <f>3.6+66.6+14.1+12.3</f>
        <v>96.59999999999998</v>
      </c>
      <c r="BG12" s="335">
        <f>83.4-2.2</f>
        <v>81.2</v>
      </c>
      <c r="BH12" s="335">
        <v>140.69999999999999</v>
      </c>
      <c r="BI12" s="335">
        <v>1838.1</v>
      </c>
      <c r="BJ12" s="335">
        <f>3511.3-28.9+84.2+240.8</f>
        <v>3807.4</v>
      </c>
      <c r="BK12" s="335">
        <f>3814.9+474.3+195.7+258.7</f>
        <v>4743.5999999999995</v>
      </c>
      <c r="BL12" s="335">
        <f>51.8+258.3+207.3+96.6+111.4+193.9+58+21.4+103.4+36+103.2+51.3+72.5+30+28.5+50.5+10.7+31.4+18.4+120.7+14.9+13.1+22.2</f>
        <v>1705.5000000000005</v>
      </c>
      <c r="BM12" s="346">
        <f t="shared" si="14"/>
        <v>13251.8</v>
      </c>
      <c r="BN12" s="335">
        <f t="shared" si="12"/>
        <v>-1775.0999999999995</v>
      </c>
      <c r="BO12" s="170">
        <f t="shared" si="18"/>
        <v>97.578899312254237</v>
      </c>
      <c r="BP12" s="102">
        <f t="shared" si="2"/>
        <v>-328.80000000000109</v>
      </c>
      <c r="BQ12" s="186">
        <f t="shared" si="19"/>
        <v>97.578899312254237</v>
      </c>
      <c r="BR12" s="266">
        <f t="shared" si="3"/>
        <v>-328.80000000000109</v>
      </c>
      <c r="BS12" s="186">
        <f t="shared" si="4"/>
        <v>111.08801166894399</v>
      </c>
      <c r="BT12" s="186">
        <f t="shared" si="5"/>
        <v>1322.6999999999989</v>
      </c>
      <c r="BU12" s="186"/>
      <c r="BV12" s="551">
        <f>BM12</f>
        <v>13251.8</v>
      </c>
      <c r="BW12" s="550">
        <f t="shared" si="6"/>
        <v>-328.80000000000109</v>
      </c>
    </row>
    <row r="13" spans="1:75" s="14" customFormat="1" ht="22.5" outlineLevel="1" x14ac:dyDescent="0.25">
      <c r="A13" s="5" t="s">
        <v>20</v>
      </c>
      <c r="B13" s="195" t="s">
        <v>105</v>
      </c>
      <c r="C13" s="137"/>
      <c r="D13" s="36">
        <v>1751.3</v>
      </c>
      <c r="E13" s="380">
        <v>1955.1</v>
      </c>
      <c r="F13" s="176">
        <v>87.8</v>
      </c>
      <c r="G13" s="176">
        <v>131.19999999999999</v>
      </c>
      <c r="H13" s="176">
        <f>10.9+121.7+6.9+0.1</f>
        <v>139.6</v>
      </c>
      <c r="I13" s="176">
        <f>2.5+88.8+11.9+7.8+12.6</f>
        <v>123.6</v>
      </c>
      <c r="J13" s="176">
        <v>176.8</v>
      </c>
      <c r="K13" s="176">
        <f>1.8+103.9+13.3-1.8</f>
        <v>117.2</v>
      </c>
      <c r="L13" s="176">
        <f>2.9+143.6+4.7+8.7</f>
        <v>159.89999999999998</v>
      </c>
      <c r="M13" s="176">
        <v>165.5</v>
      </c>
      <c r="N13" s="176">
        <f>13.3+130.6</f>
        <v>143.9</v>
      </c>
      <c r="O13" s="176">
        <f>3.5+104.6+5+22.5</f>
        <v>135.6</v>
      </c>
      <c r="P13" s="176">
        <f>8.3+142.9+7.1</f>
        <v>158.30000000000001</v>
      </c>
      <c r="Q13" s="176">
        <f>7.6+120.7+11.5+2.8+8.5+1.7+4.7+10.7</f>
        <v>168.2</v>
      </c>
      <c r="R13" s="174">
        <f t="shared" si="0"/>
        <v>1707.6</v>
      </c>
      <c r="S13" s="324">
        <v>3111.6</v>
      </c>
      <c r="T13" s="324">
        <f t="shared" si="13"/>
        <v>2764</v>
      </c>
      <c r="U13" s="335">
        <f>2.9+150.3+1.5</f>
        <v>154.70000000000002</v>
      </c>
      <c r="V13" s="335">
        <f>2.9+108.3+9.1</f>
        <v>120.3</v>
      </c>
      <c r="W13" s="335">
        <f>1.9+126.2+3.7</f>
        <v>131.79999999999998</v>
      </c>
      <c r="X13" s="335">
        <f>4+275</f>
        <v>279</v>
      </c>
      <c r="Y13" s="335">
        <f>1+196.7+10.7+8.3+0.2</f>
        <v>216.89999999999998</v>
      </c>
      <c r="Z13" s="335">
        <f>141.8+0.4</f>
        <v>142.20000000000002</v>
      </c>
      <c r="AA13" s="335">
        <f>322.7+22.6</f>
        <v>345.3</v>
      </c>
      <c r="AB13" s="335">
        <v>301.5</v>
      </c>
      <c r="AC13" s="335">
        <f>16.4+250.2+26.9+0.1+27+0.6+4</f>
        <v>325.2</v>
      </c>
      <c r="AD13" s="335">
        <v>313.2</v>
      </c>
      <c r="AE13" s="335">
        <f>4+429.9</f>
        <v>433.9</v>
      </c>
      <c r="AF13" s="335">
        <f>20.2+414.2+16.9+0.2+5.5+1.3</f>
        <v>458.29999999999995</v>
      </c>
      <c r="AG13" s="346">
        <f>U13+V13+W13+X13+Y13+Z13+AA13+AB13+AC13+AF13+AE13+AD13</f>
        <v>3222.2999999999997</v>
      </c>
      <c r="AH13" s="335">
        <v>9200</v>
      </c>
      <c r="AI13" s="335">
        <v>9200</v>
      </c>
      <c r="AJ13" s="337">
        <f t="shared" si="15"/>
        <v>9200</v>
      </c>
      <c r="AK13" s="356">
        <f t="shared" si="16"/>
        <v>1994.6</v>
      </c>
      <c r="AL13" s="96">
        <v>506</v>
      </c>
      <c r="AM13" s="96">
        <v>661.5</v>
      </c>
      <c r="AN13" s="96">
        <v>827.1</v>
      </c>
      <c r="AO13" s="160">
        <f t="shared" si="9"/>
        <v>2227.3000000000002</v>
      </c>
      <c r="AP13" s="96">
        <v>801.3</v>
      </c>
      <c r="AQ13" s="96">
        <v>695.5</v>
      </c>
      <c r="AR13" s="96">
        <v>730.5</v>
      </c>
      <c r="AS13" s="160">
        <f t="shared" si="10"/>
        <v>2384.6</v>
      </c>
      <c r="AT13" s="96">
        <v>761.8</v>
      </c>
      <c r="AU13" s="96">
        <v>810.5</v>
      </c>
      <c r="AV13" s="96">
        <v>812.3</v>
      </c>
      <c r="AW13" s="357">
        <f t="shared" si="11"/>
        <v>2593.5</v>
      </c>
      <c r="AX13" s="96">
        <v>856.5</v>
      </c>
      <c r="AY13" s="96">
        <v>847.3</v>
      </c>
      <c r="AZ13" s="96">
        <v>889.7</v>
      </c>
      <c r="BA13" s="335">
        <f>5.5+149.1+42.7+0.2+32.7+33+0.4+6</f>
        <v>269.59999999999997</v>
      </c>
      <c r="BB13" s="335">
        <v>346.9</v>
      </c>
      <c r="BC13" s="335">
        <f>139.5+417.1+12+0.6</f>
        <v>569.20000000000005</v>
      </c>
      <c r="BD13" s="335">
        <f>14.1+380.2+25+10.2</f>
        <v>429.5</v>
      </c>
      <c r="BE13" s="335">
        <f>29.6+361.3+27.3+12.2+2.6</f>
        <v>433.00000000000006</v>
      </c>
      <c r="BF13" s="335">
        <f>47.8+218.7+28.8+0.4+2.9+8.9+0.1</f>
        <v>307.59999999999997</v>
      </c>
      <c r="BG13" s="335">
        <f>66+442.1+10.9</f>
        <v>519</v>
      </c>
      <c r="BH13" s="335">
        <v>330.2</v>
      </c>
      <c r="BI13" s="335">
        <v>515.1</v>
      </c>
      <c r="BJ13" s="335">
        <f>23+469.5+10+14.3</f>
        <v>516.79999999999995</v>
      </c>
      <c r="BK13" s="335">
        <f>7.4+0.1+345.9+22+0.2+7.7</f>
        <v>383.29999999999995</v>
      </c>
      <c r="BL13" s="335">
        <f>12.1+14+2.1+10+6+21.1+8+63.4+0.4+14.1+32.1+0.6+5.5+59.1+15+0.2+5.9+0.1+27.7+25.5+26+26.8+39.9+19.7+60.2-8.1+11.5+0.7</f>
        <v>499.59999999999991</v>
      </c>
      <c r="BM13" s="346">
        <f t="shared" si="14"/>
        <v>5119.7999999999993</v>
      </c>
      <c r="BN13" s="335">
        <f t="shared" si="12"/>
        <v>-390.10000000000014</v>
      </c>
      <c r="BO13" s="170">
        <f t="shared" si="18"/>
        <v>55.649999999999991</v>
      </c>
      <c r="BP13" s="102">
        <f t="shared" si="2"/>
        <v>-4080.2000000000007</v>
      </c>
      <c r="BQ13" s="186">
        <f t="shared" si="19"/>
        <v>55.649999999999991</v>
      </c>
      <c r="BR13" s="266">
        <f t="shared" si="3"/>
        <v>-4080.2000000000007</v>
      </c>
      <c r="BS13" s="186">
        <f t="shared" si="4"/>
        <v>158.88650963597431</v>
      </c>
      <c r="BT13" s="186">
        <f t="shared" si="5"/>
        <v>1897.4999999999995</v>
      </c>
      <c r="BU13" s="186"/>
      <c r="BV13" s="551">
        <v>4900</v>
      </c>
      <c r="BW13" s="550">
        <f t="shared" si="6"/>
        <v>-4300</v>
      </c>
    </row>
    <row r="14" spans="1:75" s="14" customFormat="1" ht="22.5" customHeight="1" outlineLevel="1" x14ac:dyDescent="0.25">
      <c r="A14" s="5"/>
      <c r="B14" s="286" t="s">
        <v>145</v>
      </c>
      <c r="C14" s="287"/>
      <c r="D14" s="288">
        <f t="shared" ref="D14:BA14" si="20">SUM(D4:D13)</f>
        <v>230922.19999999998</v>
      </c>
      <c r="E14" s="288">
        <f t="shared" si="20"/>
        <v>266897.7</v>
      </c>
      <c r="F14" s="236">
        <f t="shared" si="20"/>
        <v>7427.2999999999993</v>
      </c>
      <c r="G14" s="236">
        <f t="shared" si="20"/>
        <v>-332.90000000000003</v>
      </c>
      <c r="H14" s="236">
        <f t="shared" si="20"/>
        <v>34165.299999999996</v>
      </c>
      <c r="I14" s="236">
        <f t="shared" si="20"/>
        <v>28886.899999999998</v>
      </c>
      <c r="J14" s="236">
        <f t="shared" si="20"/>
        <v>19697.800000000003</v>
      </c>
      <c r="K14" s="236">
        <f t="shared" si="20"/>
        <v>22924.799999999996</v>
      </c>
      <c r="L14" s="236">
        <f t="shared" si="20"/>
        <v>24581.200000000001</v>
      </c>
      <c r="M14" s="236">
        <f t="shared" si="20"/>
        <v>20902.900000000001</v>
      </c>
      <c r="N14" s="236">
        <f t="shared" si="20"/>
        <v>19647.300000000003</v>
      </c>
      <c r="O14" s="236">
        <f t="shared" si="20"/>
        <v>12059.700000000003</v>
      </c>
      <c r="P14" s="236">
        <f t="shared" si="20"/>
        <v>20483.499999999996</v>
      </c>
      <c r="Q14" s="236">
        <f t="shared" si="20"/>
        <v>44497.4</v>
      </c>
      <c r="R14" s="236">
        <f t="shared" si="20"/>
        <v>254941.20000000004</v>
      </c>
      <c r="S14" s="236">
        <f t="shared" si="20"/>
        <v>298478.80000000005</v>
      </c>
      <c r="T14" s="236">
        <f t="shared" si="20"/>
        <v>272643.00000000006</v>
      </c>
      <c r="U14" s="236">
        <f t="shared" si="20"/>
        <v>11915.500000000002</v>
      </c>
      <c r="V14" s="236">
        <f t="shared" si="20"/>
        <v>19277.199999999997</v>
      </c>
      <c r="W14" s="236">
        <f t="shared" si="20"/>
        <v>20316.2</v>
      </c>
      <c r="X14" s="236">
        <f t="shared" si="20"/>
        <v>17514</v>
      </c>
      <c r="Y14" s="236">
        <f t="shared" si="20"/>
        <v>30469.200000000004</v>
      </c>
      <c r="Z14" s="236">
        <f t="shared" si="20"/>
        <v>27346.400000000001</v>
      </c>
      <c r="AA14" s="236">
        <f t="shared" si="20"/>
        <v>34257.600000000006</v>
      </c>
      <c r="AB14" s="236">
        <f t="shared" si="20"/>
        <v>21190.400000000005</v>
      </c>
      <c r="AC14" s="236">
        <f t="shared" si="20"/>
        <v>23575.5</v>
      </c>
      <c r="AD14" s="236">
        <f t="shared" si="20"/>
        <v>36328.899999999994</v>
      </c>
      <c r="AE14" s="236">
        <f t="shared" si="20"/>
        <v>30452.2</v>
      </c>
      <c r="AF14" s="236">
        <f t="shared" si="20"/>
        <v>47959.900000000016</v>
      </c>
      <c r="AG14" s="236">
        <f t="shared" si="20"/>
        <v>320603</v>
      </c>
      <c r="AH14" s="236">
        <f t="shared" si="20"/>
        <v>343591.1</v>
      </c>
      <c r="AI14" s="236">
        <f t="shared" si="20"/>
        <v>343591.1</v>
      </c>
      <c r="AJ14" s="236">
        <f t="shared" si="20"/>
        <v>343591.1</v>
      </c>
      <c r="AK14" s="236">
        <f t="shared" si="20"/>
        <v>69187.700000000012</v>
      </c>
      <c r="AL14" s="236">
        <f t="shared" si="20"/>
        <v>19839.900000000001</v>
      </c>
      <c r="AM14" s="236">
        <f t="shared" si="20"/>
        <v>22221.4</v>
      </c>
      <c r="AN14" s="236">
        <f t="shared" si="20"/>
        <v>27126.399999999998</v>
      </c>
      <c r="AO14" s="236">
        <f t="shared" si="20"/>
        <v>75158.8</v>
      </c>
      <c r="AP14" s="236">
        <f t="shared" si="20"/>
        <v>24579.3</v>
      </c>
      <c r="AQ14" s="236">
        <f t="shared" si="20"/>
        <v>26983</v>
      </c>
      <c r="AR14" s="236">
        <f t="shared" si="20"/>
        <v>23596.5</v>
      </c>
      <c r="AS14" s="236">
        <f t="shared" si="20"/>
        <v>80431.8</v>
      </c>
      <c r="AT14" s="236">
        <f t="shared" si="20"/>
        <v>31809.7</v>
      </c>
      <c r="AU14" s="236">
        <f t="shared" si="20"/>
        <v>23076.2</v>
      </c>
      <c r="AV14" s="236">
        <f t="shared" si="20"/>
        <v>25545.899999999998</v>
      </c>
      <c r="AW14" s="236">
        <f t="shared" si="20"/>
        <v>118812.8</v>
      </c>
      <c r="AX14" s="236">
        <f t="shared" si="20"/>
        <v>32767.3</v>
      </c>
      <c r="AY14" s="236">
        <f t="shared" si="20"/>
        <v>40841.600000000006</v>
      </c>
      <c r="AZ14" s="236">
        <f t="shared" si="20"/>
        <v>45203.9</v>
      </c>
      <c r="BA14" s="236">
        <f t="shared" si="20"/>
        <v>11930.5</v>
      </c>
      <c r="BB14" s="236">
        <f>SUM(BB4:BB13)</f>
        <v>22765.100000000002</v>
      </c>
      <c r="BC14" s="236">
        <f t="shared" ref="BC14:BK14" si="21">SUM(BC4:BC13)</f>
        <v>23710</v>
      </c>
      <c r="BD14" s="236">
        <f t="shared" si="21"/>
        <v>35245.5</v>
      </c>
      <c r="BE14" s="236">
        <f t="shared" si="21"/>
        <v>21553.799999999996</v>
      </c>
      <c r="BF14" s="236">
        <f t="shared" si="21"/>
        <v>28453.199999999993</v>
      </c>
      <c r="BG14" s="236">
        <f>SUM(BG4:BG13)</f>
        <v>35798.599999999991</v>
      </c>
      <c r="BH14" s="236">
        <f t="shared" si="21"/>
        <v>25237.000000000004</v>
      </c>
      <c r="BI14" s="236">
        <f t="shared" si="21"/>
        <v>28222.800000000003</v>
      </c>
      <c r="BJ14" s="236">
        <f t="shared" si="21"/>
        <v>36216.80000000001</v>
      </c>
      <c r="BK14" s="236">
        <f t="shared" si="21"/>
        <v>31218.199999999993</v>
      </c>
      <c r="BL14" s="236">
        <f>SUM(BL4:BL13)</f>
        <v>51582.499999999978</v>
      </c>
      <c r="BM14" s="236">
        <f>SUM(BM4:BM13)</f>
        <v>351934</v>
      </c>
      <c r="BN14" s="236">
        <f>SUM(BN4:BN13)</f>
        <v>6378.5999999999904</v>
      </c>
      <c r="BO14" s="333">
        <f t="shared" si="18"/>
        <v>102.42814787693861</v>
      </c>
      <c r="BP14" s="266">
        <f t="shared" si="2"/>
        <v>8342.9000000000233</v>
      </c>
      <c r="BQ14" s="266">
        <f t="shared" si="19"/>
        <v>102.42814787693861</v>
      </c>
      <c r="BR14" s="266">
        <f t="shared" si="3"/>
        <v>8342.9000000000233</v>
      </c>
      <c r="BS14" s="266">
        <f t="shared" si="4"/>
        <v>109.77252240309667</v>
      </c>
      <c r="BT14" s="266">
        <f t="shared" si="5"/>
        <v>31331</v>
      </c>
      <c r="BU14" s="266"/>
      <c r="BV14" s="236">
        <f>SUM(BV4:BV13)</f>
        <v>346237.8</v>
      </c>
      <c r="BW14" s="236">
        <f>SUM(BW4:BW13)</f>
        <v>2646.6999999999698</v>
      </c>
    </row>
    <row r="15" spans="1:75" s="14" customFormat="1" ht="21" customHeight="1" outlineLevel="2" x14ac:dyDescent="0.25">
      <c r="A15" s="5" t="s">
        <v>21</v>
      </c>
      <c r="B15" s="196" t="s">
        <v>106</v>
      </c>
      <c r="C15" s="137"/>
      <c r="D15" s="36">
        <v>78</v>
      </c>
      <c r="E15" s="381">
        <v>143.9</v>
      </c>
      <c r="F15" s="176">
        <v>0</v>
      </c>
      <c r="G15" s="176"/>
      <c r="H15" s="176">
        <v>124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4">
        <f t="shared" ref="R15:R28" si="22">F15+G15+H15+I15+J15+K15+L15+M15+N15+O15+P15+Q15</f>
        <v>124</v>
      </c>
      <c r="S15" s="324">
        <v>124</v>
      </c>
      <c r="T15" s="324">
        <f t="shared" si="13"/>
        <v>124</v>
      </c>
      <c r="U15" s="350"/>
      <c r="V15" s="350"/>
      <c r="W15" s="351"/>
      <c r="X15" s="351"/>
      <c r="Y15" s="351">
        <v>124</v>
      </c>
      <c r="Z15" s="351"/>
      <c r="AA15" s="350"/>
      <c r="AB15" s="351"/>
      <c r="AC15" s="350"/>
      <c r="AD15" s="350"/>
      <c r="AE15" s="351"/>
      <c r="AF15" s="350"/>
      <c r="AG15" s="346">
        <f t="shared" ref="AG15:AG28" si="23">U15+V15+W15+X15+Y15+Z15+AA15+AB15+AC15+AF15+AE15+AD15</f>
        <v>124</v>
      </c>
      <c r="AH15" s="335">
        <v>124</v>
      </c>
      <c r="AI15" s="335">
        <v>131</v>
      </c>
      <c r="AJ15" s="337">
        <f t="shared" ref="AJ15:AJ27" si="24">AK15+AO15+AS15+AW15</f>
        <v>124</v>
      </c>
      <c r="AK15" s="319">
        <f>AL15+AM15+AN15</f>
        <v>0</v>
      </c>
      <c r="AL15" s="321"/>
      <c r="AM15" s="321">
        <v>0</v>
      </c>
      <c r="AN15" s="321"/>
      <c r="AO15" s="322">
        <f>AP15+AQ15+AR15</f>
        <v>124</v>
      </c>
      <c r="AP15" s="323"/>
      <c r="AQ15" s="323">
        <v>124</v>
      </c>
      <c r="AR15" s="348"/>
      <c r="AS15" s="349">
        <f>AT15+AU15+AV15</f>
        <v>0</v>
      </c>
      <c r="AT15" s="348"/>
      <c r="AU15" s="348"/>
      <c r="AV15" s="348"/>
      <c r="AW15" s="345">
        <f t="shared" si="11"/>
        <v>0</v>
      </c>
      <c r="AX15" s="348"/>
      <c r="AY15" s="348"/>
      <c r="AZ15" s="348"/>
      <c r="BA15" s="350"/>
      <c r="BB15" s="350"/>
      <c r="BC15" s="351">
        <v>131</v>
      </c>
      <c r="BD15" s="351"/>
      <c r="BE15" s="351"/>
      <c r="BF15" s="351"/>
      <c r="BG15" s="350"/>
      <c r="BH15" s="351"/>
      <c r="BI15" s="350"/>
      <c r="BJ15" s="350"/>
      <c r="BK15" s="351"/>
      <c r="BL15" s="350"/>
      <c r="BM15" s="346">
        <f t="shared" si="14"/>
        <v>131</v>
      </c>
      <c r="BN15" s="335">
        <f t="shared" si="12"/>
        <v>0</v>
      </c>
      <c r="BO15" s="170">
        <f t="shared" si="18"/>
        <v>105.64516129032258</v>
      </c>
      <c r="BP15" s="102">
        <f t="shared" si="2"/>
        <v>7</v>
      </c>
      <c r="BQ15" s="186">
        <f t="shared" si="19"/>
        <v>100</v>
      </c>
      <c r="BR15" s="266">
        <f t="shared" si="3"/>
        <v>0</v>
      </c>
      <c r="BS15" s="186">
        <f t="shared" si="4"/>
        <v>105.64516129032258</v>
      </c>
      <c r="BT15" s="186">
        <f t="shared" si="5"/>
        <v>7</v>
      </c>
      <c r="BU15" s="186"/>
      <c r="BV15" s="551">
        <v>131</v>
      </c>
      <c r="BW15" s="550">
        <f t="shared" ref="BW15:BW28" si="25">BV15-AI15</f>
        <v>0</v>
      </c>
    </row>
    <row r="16" spans="1:75" s="14" customFormat="1" ht="30.75" customHeight="1" outlineLevel="2" x14ac:dyDescent="0.25">
      <c r="A16" s="5"/>
      <c r="B16" s="432" t="s">
        <v>364</v>
      </c>
      <c r="C16" s="137"/>
      <c r="D16" s="36"/>
      <c r="E16" s="381"/>
      <c r="F16" s="176">
        <v>0</v>
      </c>
      <c r="G16" s="176">
        <v>0.2</v>
      </c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4">
        <f t="shared" si="22"/>
        <v>0.2</v>
      </c>
      <c r="S16" s="324">
        <v>0</v>
      </c>
      <c r="T16" s="324">
        <f t="shared" si="13"/>
        <v>0</v>
      </c>
      <c r="U16" s="350"/>
      <c r="V16" s="350"/>
      <c r="W16" s="351"/>
      <c r="X16" s="351"/>
      <c r="Y16" s="351"/>
      <c r="Z16" s="351"/>
      <c r="AA16" s="350"/>
      <c r="AB16" s="351"/>
      <c r="AC16" s="350"/>
      <c r="AD16" s="350"/>
      <c r="AE16" s="351"/>
      <c r="AF16" s="350"/>
      <c r="AG16" s="346">
        <f t="shared" si="23"/>
        <v>0</v>
      </c>
      <c r="AH16" s="335">
        <v>0</v>
      </c>
      <c r="AI16" s="335">
        <v>6.8</v>
      </c>
      <c r="AJ16" s="337">
        <f t="shared" si="24"/>
        <v>0</v>
      </c>
      <c r="AK16" s="319">
        <f t="shared" ref="AK16:AK28" si="26">AL16+AM16+AN16</f>
        <v>0</v>
      </c>
      <c r="AL16" s="321"/>
      <c r="AM16" s="321">
        <v>0</v>
      </c>
      <c r="AN16" s="321"/>
      <c r="AO16" s="322">
        <f t="shared" ref="AO16:AO28" si="27">AP16+AQ16+AR16</f>
        <v>0</v>
      </c>
      <c r="AP16" s="323"/>
      <c r="AQ16" s="323"/>
      <c r="AR16" s="348"/>
      <c r="AS16" s="349">
        <f t="shared" ref="AS16:AS28" si="28">AT16+AU16+AV16</f>
        <v>0</v>
      </c>
      <c r="AT16" s="348"/>
      <c r="AU16" s="348"/>
      <c r="AV16" s="348"/>
      <c r="AW16" s="345">
        <f t="shared" si="11"/>
        <v>0</v>
      </c>
      <c r="AX16" s="348"/>
      <c r="AY16" s="348"/>
      <c r="AZ16" s="348"/>
      <c r="BA16" s="350"/>
      <c r="BB16" s="350"/>
      <c r="BC16" s="351"/>
      <c r="BD16" s="351">
        <v>1.6</v>
      </c>
      <c r="BE16" s="351">
        <v>5.2</v>
      </c>
      <c r="BF16" s="351">
        <v>-0.1</v>
      </c>
      <c r="BG16" s="350"/>
      <c r="BH16" s="351"/>
      <c r="BI16" s="350"/>
      <c r="BJ16" s="351">
        <v>0.1</v>
      </c>
      <c r="BK16" s="351"/>
      <c r="BL16" s="351">
        <v>0.1</v>
      </c>
      <c r="BM16" s="346">
        <f t="shared" si="14"/>
        <v>6.9</v>
      </c>
      <c r="BN16" s="335">
        <f t="shared" si="12"/>
        <v>0.1</v>
      </c>
      <c r="BO16" s="170"/>
      <c r="BP16" s="102">
        <f t="shared" si="2"/>
        <v>6.9</v>
      </c>
      <c r="BQ16" s="186">
        <f t="shared" si="19"/>
        <v>101.47058823529413</v>
      </c>
      <c r="BR16" s="266">
        <f t="shared" si="3"/>
        <v>0.10000000000000053</v>
      </c>
      <c r="BS16" s="186"/>
      <c r="BT16" s="186">
        <f t="shared" si="5"/>
        <v>6.9</v>
      </c>
      <c r="BU16" s="186"/>
      <c r="BV16" s="549">
        <v>6.8</v>
      </c>
      <c r="BW16" s="550">
        <f t="shared" si="25"/>
        <v>0</v>
      </c>
    </row>
    <row r="17" spans="1:79" s="14" customFormat="1" ht="24" customHeight="1" outlineLevel="3" x14ac:dyDescent="0.3">
      <c r="A17" s="5" t="s">
        <v>22</v>
      </c>
      <c r="B17" s="195" t="s">
        <v>347</v>
      </c>
      <c r="C17" s="137"/>
      <c r="D17" s="36">
        <v>3552.6</v>
      </c>
      <c r="E17" s="379">
        <v>3723.9</v>
      </c>
      <c r="F17" s="176">
        <v>126.9</v>
      </c>
      <c r="G17" s="176">
        <v>848.2</v>
      </c>
      <c r="H17" s="176">
        <v>353.3</v>
      </c>
      <c r="I17" s="176">
        <f>5.5+426.3+27</f>
        <v>458.8</v>
      </c>
      <c r="J17" s="176">
        <v>180.2</v>
      </c>
      <c r="K17" s="176">
        <v>162.80000000000001</v>
      </c>
      <c r="L17" s="176">
        <f>10.3+182.2</f>
        <v>192.5</v>
      </c>
      <c r="M17" s="176">
        <v>190.2</v>
      </c>
      <c r="N17" s="176">
        <v>225.6</v>
      </c>
      <c r="O17" s="176">
        <v>213.7</v>
      </c>
      <c r="P17" s="176">
        <f>4.7+293.1+7.1-4.2</f>
        <v>300.70000000000005</v>
      </c>
      <c r="Q17" s="176">
        <f>341.6-6.3+245.7+1</f>
        <v>582</v>
      </c>
      <c r="R17" s="174">
        <f t="shared" si="22"/>
        <v>3834.8999999999996</v>
      </c>
      <c r="S17" s="324">
        <v>4275.2</v>
      </c>
      <c r="T17" s="324">
        <f t="shared" si="13"/>
        <v>3226.2000000000003</v>
      </c>
      <c r="U17" s="351">
        <v>181.9</v>
      </c>
      <c r="V17" s="351">
        <v>281.2</v>
      </c>
      <c r="W17" s="351">
        <v>260.5</v>
      </c>
      <c r="X17" s="351">
        <v>251.4</v>
      </c>
      <c r="Y17" s="351">
        <f>245.2+3.3</f>
        <v>248.5</v>
      </c>
      <c r="Z17" s="351">
        <v>538.70000000000005</v>
      </c>
      <c r="AA17" s="351">
        <v>264.89999999999998</v>
      </c>
      <c r="AB17" s="351">
        <v>289.8</v>
      </c>
      <c r="AC17" s="351">
        <f>6.2+319+2.6</f>
        <v>327.8</v>
      </c>
      <c r="AD17" s="351">
        <v>298.39999999999998</v>
      </c>
      <c r="AE17" s="351">
        <f>6.3+276.8</f>
        <v>283.10000000000002</v>
      </c>
      <c r="AF17" s="351">
        <f>23.8+935.7+6.2</f>
        <v>965.7</v>
      </c>
      <c r="AG17" s="346">
        <f t="shared" si="23"/>
        <v>4191.9000000000005</v>
      </c>
      <c r="AH17" s="335">
        <v>4283.3</v>
      </c>
      <c r="AI17" s="335">
        <v>4317</v>
      </c>
      <c r="AJ17" s="337">
        <f t="shared" si="24"/>
        <v>4283.3</v>
      </c>
      <c r="AK17" s="319">
        <f t="shared" si="26"/>
        <v>800</v>
      </c>
      <c r="AL17" s="390">
        <v>200</v>
      </c>
      <c r="AM17" s="390">
        <v>300</v>
      </c>
      <c r="AN17" s="390">
        <v>300</v>
      </c>
      <c r="AO17" s="322">
        <f t="shared" si="27"/>
        <v>900</v>
      </c>
      <c r="AP17" s="390">
        <v>300</v>
      </c>
      <c r="AQ17" s="390">
        <v>300</v>
      </c>
      <c r="AR17" s="94">
        <v>300</v>
      </c>
      <c r="AS17" s="349">
        <f t="shared" si="28"/>
        <v>1100</v>
      </c>
      <c r="AT17" s="390">
        <v>500</v>
      </c>
      <c r="AU17" s="390">
        <v>300</v>
      </c>
      <c r="AV17" s="390">
        <v>300</v>
      </c>
      <c r="AW17" s="345">
        <f t="shared" si="11"/>
        <v>1483.3</v>
      </c>
      <c r="AX17" s="390">
        <v>500</v>
      </c>
      <c r="AY17" s="390">
        <v>300</v>
      </c>
      <c r="AZ17" s="390">
        <v>683.3</v>
      </c>
      <c r="BA17" s="351">
        <f>7.5+181.4+7.4</f>
        <v>196.3</v>
      </c>
      <c r="BB17" s="351">
        <v>405.2</v>
      </c>
      <c r="BC17" s="351">
        <f>2.9+512.4</f>
        <v>515.29999999999995</v>
      </c>
      <c r="BD17" s="351">
        <f>361.1-2.1+1.8</f>
        <v>360.8</v>
      </c>
      <c r="BE17" s="351">
        <v>525.9</v>
      </c>
      <c r="BF17" s="351">
        <v>323.39999999999998</v>
      </c>
      <c r="BG17" s="351">
        <v>328.1</v>
      </c>
      <c r="BH17" s="351">
        <v>293.39999999999998</v>
      </c>
      <c r="BI17" s="351">
        <v>291.60000000000002</v>
      </c>
      <c r="BJ17" s="351">
        <f>1.1+484.2</f>
        <v>485.3</v>
      </c>
      <c r="BK17" s="351">
        <v>274.5</v>
      </c>
      <c r="BL17" s="351">
        <f>10.6+113+1.7+16.5+3.8+1.5+59.6+110.5+0.3+10+36.6</f>
        <v>364.10000000000008</v>
      </c>
      <c r="BM17" s="346">
        <f t="shared" si="14"/>
        <v>4363.9000000000005</v>
      </c>
      <c r="BN17" s="335">
        <f t="shared" si="12"/>
        <v>-319.19999999999987</v>
      </c>
      <c r="BO17" s="170">
        <f>BM17/AH17*100</f>
        <v>101.8817267060444</v>
      </c>
      <c r="BP17" s="102">
        <f t="shared" si="2"/>
        <v>80.600000000000364</v>
      </c>
      <c r="BQ17" s="186">
        <f t="shared" si="19"/>
        <v>101.08640259439427</v>
      </c>
      <c r="BR17" s="266">
        <f t="shared" si="3"/>
        <v>46.900000000000546</v>
      </c>
      <c r="BS17" s="186">
        <f t="shared" ref="BS17:BS26" si="29">BM17/AG17*100</f>
        <v>104.10315131563253</v>
      </c>
      <c r="BT17" s="186">
        <f t="shared" si="5"/>
        <v>172</v>
      </c>
      <c r="BU17" s="186"/>
      <c r="BV17" s="549">
        <v>4283.3</v>
      </c>
      <c r="BW17" s="550">
        <f t="shared" si="25"/>
        <v>-33.699999999999818</v>
      </c>
    </row>
    <row r="18" spans="1:79" s="14" customFormat="1" ht="23.25" customHeight="1" outlineLevel="3" x14ac:dyDescent="0.3">
      <c r="A18" s="5" t="s">
        <v>23</v>
      </c>
      <c r="B18" s="195" t="s">
        <v>107</v>
      </c>
      <c r="C18" s="137"/>
      <c r="D18" s="36">
        <v>1291.0999999999999</v>
      </c>
      <c r="E18" s="379">
        <v>1275.2</v>
      </c>
      <c r="F18" s="176">
        <f>10+99.6</f>
        <v>109.6</v>
      </c>
      <c r="G18" s="176">
        <v>137</v>
      </c>
      <c r="H18" s="176">
        <v>151.19999999999999</v>
      </c>
      <c r="I18" s="176">
        <v>566.70000000000005</v>
      </c>
      <c r="J18" s="176">
        <v>134.6</v>
      </c>
      <c r="K18" s="176">
        <v>159.4</v>
      </c>
      <c r="L18" s="176">
        <v>114.2</v>
      </c>
      <c r="M18" s="176">
        <v>114.8</v>
      </c>
      <c r="N18" s="176">
        <v>96.9</v>
      </c>
      <c r="O18" s="176">
        <v>95.5</v>
      </c>
      <c r="P18" s="176">
        <v>89.2</v>
      </c>
      <c r="Q18" s="176">
        <f>7.9+208</f>
        <v>215.9</v>
      </c>
      <c r="R18" s="174">
        <f t="shared" si="22"/>
        <v>1985.0000000000002</v>
      </c>
      <c r="S18" s="324">
        <v>1521.6</v>
      </c>
      <c r="T18" s="324">
        <f t="shared" si="13"/>
        <v>1392.6999999999998</v>
      </c>
      <c r="U18" s="351">
        <f>2.4+164.8</f>
        <v>167.20000000000002</v>
      </c>
      <c r="V18" s="351">
        <v>118.2</v>
      </c>
      <c r="W18" s="351">
        <v>107.1</v>
      </c>
      <c r="X18" s="351">
        <v>110.5</v>
      </c>
      <c r="Y18" s="351">
        <v>103.1</v>
      </c>
      <c r="Z18" s="351">
        <v>185.7</v>
      </c>
      <c r="AA18" s="351">
        <v>107.9</v>
      </c>
      <c r="AB18" s="351">
        <v>135.5</v>
      </c>
      <c r="AC18" s="351">
        <f>3.2+109.3</f>
        <v>112.5</v>
      </c>
      <c r="AD18" s="351">
        <v>125</v>
      </c>
      <c r="AE18" s="351">
        <f>2.5+117.5</f>
        <v>120</v>
      </c>
      <c r="AF18" s="351">
        <f>3+98.1+3+10.9+13.9</f>
        <v>128.9</v>
      </c>
      <c r="AG18" s="346">
        <f t="shared" si="23"/>
        <v>1521.6</v>
      </c>
      <c r="AH18" s="335">
        <v>1562.5</v>
      </c>
      <c r="AI18" s="335">
        <v>1573.4</v>
      </c>
      <c r="AJ18" s="337">
        <f t="shared" si="24"/>
        <v>1562.5</v>
      </c>
      <c r="AK18" s="319">
        <f t="shared" si="26"/>
        <v>390</v>
      </c>
      <c r="AL18" s="390">
        <v>130</v>
      </c>
      <c r="AM18" s="390">
        <v>130</v>
      </c>
      <c r="AN18" s="390">
        <v>130</v>
      </c>
      <c r="AO18" s="322">
        <f t="shared" si="27"/>
        <v>390</v>
      </c>
      <c r="AP18" s="390">
        <v>130</v>
      </c>
      <c r="AQ18" s="390">
        <v>130</v>
      </c>
      <c r="AR18" s="94">
        <v>130</v>
      </c>
      <c r="AS18" s="349">
        <f t="shared" si="28"/>
        <v>390</v>
      </c>
      <c r="AT18" s="390">
        <v>130</v>
      </c>
      <c r="AU18" s="390">
        <v>130</v>
      </c>
      <c r="AV18" s="390">
        <v>130</v>
      </c>
      <c r="AW18" s="345">
        <f t="shared" si="11"/>
        <v>392.5</v>
      </c>
      <c r="AX18" s="390">
        <v>130</v>
      </c>
      <c r="AY18" s="390">
        <v>130</v>
      </c>
      <c r="AZ18" s="390">
        <v>132.5</v>
      </c>
      <c r="BA18" s="351">
        <f>2.4+109</f>
        <v>111.4</v>
      </c>
      <c r="BB18" s="351">
        <f>2.4+127.4</f>
        <v>129.80000000000001</v>
      </c>
      <c r="BC18" s="351">
        <v>157.19999999999999</v>
      </c>
      <c r="BD18" s="351">
        <f>128.8+2.1</f>
        <v>130.9</v>
      </c>
      <c r="BE18" s="351">
        <v>137.30000000000001</v>
      </c>
      <c r="BF18" s="351">
        <v>205.9</v>
      </c>
      <c r="BG18" s="351">
        <v>118.6</v>
      </c>
      <c r="BH18" s="351">
        <v>118.2</v>
      </c>
      <c r="BI18" s="351">
        <f>11.7+106.8</f>
        <v>118.5</v>
      </c>
      <c r="BJ18" s="351">
        <v>115.3</v>
      </c>
      <c r="BK18" s="351">
        <v>108.6</v>
      </c>
      <c r="BL18" s="351">
        <f>11.7+2.9+5.1+6.6+5.8+16.8+72.8+11.9+11.7</f>
        <v>145.29999999999998</v>
      </c>
      <c r="BM18" s="346">
        <f t="shared" si="14"/>
        <v>1596.9999999999998</v>
      </c>
      <c r="BN18" s="335">
        <f t="shared" si="12"/>
        <v>12.799999999999983</v>
      </c>
      <c r="BO18" s="170">
        <f>BM18/AH18*100</f>
        <v>102.20799999999998</v>
      </c>
      <c r="BP18" s="102">
        <f t="shared" si="2"/>
        <v>34.499999999999773</v>
      </c>
      <c r="BQ18" s="186">
        <f t="shared" si="19"/>
        <v>101.49993644337103</v>
      </c>
      <c r="BR18" s="266">
        <f t="shared" si="3"/>
        <v>23.599999999999682</v>
      </c>
      <c r="BS18" s="186">
        <f t="shared" si="29"/>
        <v>104.95531019978968</v>
      </c>
      <c r="BT18" s="186">
        <f t="shared" si="5"/>
        <v>75.399999999999864</v>
      </c>
      <c r="BU18" s="186"/>
      <c r="BV18" s="549">
        <v>1562.5</v>
      </c>
      <c r="BW18" s="550">
        <f t="shared" si="25"/>
        <v>-10.900000000000091</v>
      </c>
    </row>
    <row r="19" spans="1:79" s="14" customFormat="1" ht="34.5" customHeight="1" outlineLevel="2" x14ac:dyDescent="0.3">
      <c r="A19" s="5" t="s">
        <v>24</v>
      </c>
      <c r="B19" s="194" t="s">
        <v>25</v>
      </c>
      <c r="C19" s="137"/>
      <c r="D19" s="36">
        <v>23.7</v>
      </c>
      <c r="E19" s="379">
        <v>458.3</v>
      </c>
      <c r="F19" s="176"/>
      <c r="G19" s="176">
        <v>12.5</v>
      </c>
      <c r="H19" s="176">
        <f>524+224.3</f>
        <v>748.3</v>
      </c>
      <c r="I19" s="176">
        <f>0.7+337.5</f>
        <v>338.2</v>
      </c>
      <c r="J19" s="176">
        <v>0</v>
      </c>
      <c r="K19" s="176">
        <v>0.8</v>
      </c>
      <c r="L19" s="176">
        <f>0.4+57+158.9</f>
        <v>216.3</v>
      </c>
      <c r="M19" s="176"/>
      <c r="N19" s="176"/>
      <c r="O19" s="176">
        <v>216.3</v>
      </c>
      <c r="P19" s="176">
        <v>1.3</v>
      </c>
      <c r="Q19" s="176">
        <v>0.1</v>
      </c>
      <c r="R19" s="174">
        <f t="shared" si="22"/>
        <v>1533.7999999999997</v>
      </c>
      <c r="S19" s="324">
        <v>820</v>
      </c>
      <c r="T19" s="324">
        <f t="shared" si="13"/>
        <v>820</v>
      </c>
      <c r="U19" s="351">
        <v>19.100000000000001</v>
      </c>
      <c r="V19" s="351">
        <v>98</v>
      </c>
      <c r="W19" s="351">
        <v>144</v>
      </c>
      <c r="X19" s="351">
        <v>1.1000000000000001</v>
      </c>
      <c r="Y19" s="351">
        <v>185.4</v>
      </c>
      <c r="Z19" s="351">
        <v>0.8</v>
      </c>
      <c r="AA19" s="351">
        <v>185.8</v>
      </c>
      <c r="AB19" s="351"/>
      <c r="AC19" s="351"/>
      <c r="AD19" s="351">
        <v>185.8</v>
      </c>
      <c r="AE19" s="351"/>
      <c r="AF19" s="351"/>
      <c r="AG19" s="346">
        <f t="shared" si="23"/>
        <v>820</v>
      </c>
      <c r="AH19" s="335">
        <v>924.8</v>
      </c>
      <c r="AI19" s="335">
        <v>691.7</v>
      </c>
      <c r="AJ19" s="337">
        <f t="shared" si="24"/>
        <v>924.8</v>
      </c>
      <c r="AK19" s="319">
        <f t="shared" si="26"/>
        <v>259</v>
      </c>
      <c r="AL19" s="390">
        <v>19</v>
      </c>
      <c r="AM19" s="390">
        <v>100</v>
      </c>
      <c r="AN19" s="390">
        <v>140</v>
      </c>
      <c r="AO19" s="322">
        <f t="shared" si="27"/>
        <v>230</v>
      </c>
      <c r="AP19" s="390"/>
      <c r="AQ19" s="390">
        <v>190</v>
      </c>
      <c r="AR19" s="94">
        <v>40</v>
      </c>
      <c r="AS19" s="349">
        <f t="shared" si="28"/>
        <v>210</v>
      </c>
      <c r="AT19" s="390">
        <v>190</v>
      </c>
      <c r="AU19" s="390"/>
      <c r="AV19" s="390">
        <v>20</v>
      </c>
      <c r="AW19" s="345">
        <f t="shared" si="11"/>
        <v>225.8</v>
      </c>
      <c r="AX19" s="390">
        <v>190</v>
      </c>
      <c r="AY19" s="390"/>
      <c r="AZ19" s="391">
        <v>35.799999999999997</v>
      </c>
      <c r="BA19" s="351"/>
      <c r="BB19" s="351">
        <v>330.9</v>
      </c>
      <c r="BC19" s="351">
        <v>-10.1</v>
      </c>
      <c r="BD19" s="351">
        <v>99.4</v>
      </c>
      <c r="BE19" s="351"/>
      <c r="BF19" s="351">
        <v>-0.2</v>
      </c>
      <c r="BG19" s="351">
        <v>134.9</v>
      </c>
      <c r="BH19" s="351"/>
      <c r="BI19" s="351">
        <v>1.2</v>
      </c>
      <c r="BJ19" s="351">
        <v>135</v>
      </c>
      <c r="BK19" s="351"/>
      <c r="BL19" s="351">
        <v>0.6</v>
      </c>
      <c r="BM19" s="346">
        <f>SUM(BA19:BL19)</f>
        <v>691.7</v>
      </c>
      <c r="BN19" s="335">
        <f t="shared" si="12"/>
        <v>-35.199999999999996</v>
      </c>
      <c r="BO19" s="170">
        <f>BM19/AH19*100</f>
        <v>74.794550173010393</v>
      </c>
      <c r="BP19" s="102">
        <f t="shared" si="2"/>
        <v>-233.09999999999991</v>
      </c>
      <c r="BQ19" s="186">
        <f t="shared" si="19"/>
        <v>100</v>
      </c>
      <c r="BR19" s="266">
        <f t="shared" si="3"/>
        <v>0</v>
      </c>
      <c r="BS19" s="186">
        <f t="shared" si="29"/>
        <v>84.353658536585371</v>
      </c>
      <c r="BT19" s="186">
        <f t="shared" si="5"/>
        <v>-128.29999999999995</v>
      </c>
      <c r="BU19" s="186"/>
      <c r="BV19" s="549">
        <v>691.1</v>
      </c>
      <c r="BW19" s="550">
        <f t="shared" si="25"/>
        <v>-0.60000000000002274</v>
      </c>
    </row>
    <row r="20" spans="1:79" s="14" customFormat="1" ht="37.5" customHeight="1" outlineLevel="2" x14ac:dyDescent="0.3">
      <c r="A20" s="5" t="s">
        <v>26</v>
      </c>
      <c r="B20" s="194" t="s">
        <v>469</v>
      </c>
      <c r="C20" s="137"/>
      <c r="D20" s="36">
        <v>379.5</v>
      </c>
      <c r="E20" s="379">
        <v>424.1</v>
      </c>
      <c r="F20" s="176">
        <v>0</v>
      </c>
      <c r="G20" s="176">
        <f>5.1+4.8</f>
        <v>9.8999999999999986</v>
      </c>
      <c r="H20" s="176"/>
      <c r="I20" s="176">
        <v>81.099999999999994</v>
      </c>
      <c r="J20" s="176">
        <v>6.1</v>
      </c>
      <c r="K20" s="176">
        <v>43.5</v>
      </c>
      <c r="L20" s="176">
        <v>4.7</v>
      </c>
      <c r="M20" s="176">
        <v>43.1</v>
      </c>
      <c r="N20" s="176"/>
      <c r="O20" s="176"/>
      <c r="P20" s="176">
        <v>109.1</v>
      </c>
      <c r="Q20" s="176">
        <f>45.1+0.7+57.1+20.4</f>
        <v>123.30000000000001</v>
      </c>
      <c r="R20" s="174">
        <f t="shared" si="22"/>
        <v>420.8</v>
      </c>
      <c r="S20" s="324">
        <v>423.2</v>
      </c>
      <c r="T20" s="324">
        <f t="shared" si="13"/>
        <v>317.3</v>
      </c>
      <c r="U20" s="351">
        <v>3.9</v>
      </c>
      <c r="V20" s="351">
        <v>2.4</v>
      </c>
      <c r="W20" s="351"/>
      <c r="X20" s="351"/>
      <c r="Y20" s="351">
        <v>88.9</v>
      </c>
      <c r="Z20" s="351"/>
      <c r="AA20" s="351">
        <v>6</v>
      </c>
      <c r="AB20" s="351">
        <v>51.1</v>
      </c>
      <c r="AC20" s="351">
        <v>50.2</v>
      </c>
      <c r="AD20" s="351">
        <v>15.4</v>
      </c>
      <c r="AE20" s="351">
        <v>99.4</v>
      </c>
      <c r="AF20" s="351">
        <f>64.4+37.4</f>
        <v>101.80000000000001</v>
      </c>
      <c r="AG20" s="346">
        <f t="shared" si="23"/>
        <v>419.1</v>
      </c>
      <c r="AH20" s="335">
        <v>444.4</v>
      </c>
      <c r="AI20" s="335">
        <v>485.6</v>
      </c>
      <c r="AJ20" s="337">
        <f t="shared" si="24"/>
        <v>444.4</v>
      </c>
      <c r="AK20" s="319">
        <f t="shared" si="26"/>
        <v>60</v>
      </c>
      <c r="AL20" s="390">
        <v>50</v>
      </c>
      <c r="AM20" s="390">
        <v>0</v>
      </c>
      <c r="AN20" s="390">
        <v>10</v>
      </c>
      <c r="AO20" s="322">
        <f t="shared" si="27"/>
        <v>100</v>
      </c>
      <c r="AP20" s="390">
        <v>20</v>
      </c>
      <c r="AQ20" s="390">
        <v>70</v>
      </c>
      <c r="AR20" s="94">
        <v>10</v>
      </c>
      <c r="AS20" s="349">
        <f t="shared" si="28"/>
        <v>110</v>
      </c>
      <c r="AT20" s="390">
        <v>30</v>
      </c>
      <c r="AU20" s="390">
        <v>30</v>
      </c>
      <c r="AV20" s="390">
        <v>50</v>
      </c>
      <c r="AW20" s="345">
        <f t="shared" si="11"/>
        <v>174.39999999999998</v>
      </c>
      <c r="AX20" s="390">
        <v>27.6</v>
      </c>
      <c r="AY20" s="390">
        <v>60</v>
      </c>
      <c r="AZ20" s="391">
        <v>86.8</v>
      </c>
      <c r="BA20" s="351">
        <v>36</v>
      </c>
      <c r="BB20" s="351"/>
      <c r="BC20" s="351"/>
      <c r="BD20" s="351">
        <v>98.5</v>
      </c>
      <c r="BE20" s="351">
        <v>28.2</v>
      </c>
      <c r="BF20" s="351"/>
      <c r="BG20" s="351">
        <v>40.9</v>
      </c>
      <c r="BH20" s="351"/>
      <c r="BI20" s="351">
        <f>10.2+1.8</f>
        <v>12</v>
      </c>
      <c r="BJ20" s="351">
        <v>109.6</v>
      </c>
      <c r="BK20" s="351"/>
      <c r="BL20" s="351">
        <f>46.4+1.1+113</f>
        <v>160.5</v>
      </c>
      <c r="BM20" s="346">
        <f t="shared" si="14"/>
        <v>485.7</v>
      </c>
      <c r="BN20" s="335">
        <f t="shared" si="12"/>
        <v>73.7</v>
      </c>
      <c r="BO20" s="170">
        <f>BM20/AH20*100</f>
        <v>109.29342934293429</v>
      </c>
      <c r="BP20" s="102">
        <f t="shared" si="2"/>
        <v>41.300000000000011</v>
      </c>
      <c r="BQ20" s="186">
        <f t="shared" si="19"/>
        <v>100.02059308072486</v>
      </c>
      <c r="BR20" s="266">
        <f t="shared" si="3"/>
        <v>9.9999999999965894E-2</v>
      </c>
      <c r="BS20" s="186">
        <f t="shared" si="29"/>
        <v>115.89119541875445</v>
      </c>
      <c r="BT20" s="186">
        <f t="shared" si="5"/>
        <v>66.599999999999966</v>
      </c>
      <c r="BU20" s="186"/>
      <c r="BV20" s="549">
        <f>444-64.8</f>
        <v>379.2</v>
      </c>
      <c r="BW20" s="550">
        <f t="shared" si="25"/>
        <v>-106.40000000000003</v>
      </c>
    </row>
    <row r="21" spans="1:79" s="14" customFormat="1" ht="32.25" customHeight="1" outlineLevel="2" x14ac:dyDescent="0.25">
      <c r="A21" s="5"/>
      <c r="B21" s="194" t="s">
        <v>578</v>
      </c>
      <c r="C21" s="137"/>
      <c r="D21" s="36">
        <v>4806.3</v>
      </c>
      <c r="E21" s="379">
        <v>156</v>
      </c>
      <c r="F21" s="176">
        <v>0</v>
      </c>
      <c r="G21" s="176"/>
      <c r="H21" s="176">
        <v>11.8</v>
      </c>
      <c r="I21" s="176"/>
      <c r="J21" s="176"/>
      <c r="K21" s="176"/>
      <c r="L21" s="176">
        <v>451.5</v>
      </c>
      <c r="M21" s="176"/>
      <c r="N21" s="176">
        <f>1032.9-0.7</f>
        <v>1032.2</v>
      </c>
      <c r="O21" s="176"/>
      <c r="P21" s="176"/>
      <c r="Q21" s="176"/>
      <c r="R21" s="174">
        <f t="shared" si="22"/>
        <v>1495.5</v>
      </c>
      <c r="S21" s="324">
        <v>57.8</v>
      </c>
      <c r="T21" s="324">
        <f t="shared" si="13"/>
        <v>57.699999999999989</v>
      </c>
      <c r="U21" s="351">
        <v>45.9</v>
      </c>
      <c r="V21" s="351"/>
      <c r="W21" s="351"/>
      <c r="X21" s="351"/>
      <c r="Y21" s="351">
        <v>3.9</v>
      </c>
      <c r="Z21" s="351"/>
      <c r="AA21" s="351"/>
      <c r="AB21" s="351"/>
      <c r="AC21" s="351">
        <v>106.9</v>
      </c>
      <c r="AD21" s="351">
        <f>-107+8</f>
        <v>-99</v>
      </c>
      <c r="AE21" s="351"/>
      <c r="AF21" s="351"/>
      <c r="AG21" s="346">
        <v>57.8</v>
      </c>
      <c r="AH21" s="335">
        <v>0</v>
      </c>
      <c r="AI21" s="335">
        <v>737.3</v>
      </c>
      <c r="AJ21" s="337">
        <f t="shared" si="24"/>
        <v>0</v>
      </c>
      <c r="AK21" s="319">
        <f t="shared" si="26"/>
        <v>0</v>
      </c>
      <c r="AL21" s="321"/>
      <c r="AM21" s="321">
        <v>0</v>
      </c>
      <c r="AN21" s="321"/>
      <c r="AO21" s="322">
        <f t="shared" si="27"/>
        <v>0</v>
      </c>
      <c r="AP21" s="321"/>
      <c r="AQ21" s="321"/>
      <c r="AR21" s="352"/>
      <c r="AS21" s="349">
        <f t="shared" si="28"/>
        <v>0</v>
      </c>
      <c r="AT21" s="352"/>
      <c r="AU21" s="352"/>
      <c r="AV21" s="352"/>
      <c r="AW21" s="345">
        <f t="shared" si="11"/>
        <v>0</v>
      </c>
      <c r="AX21" s="352"/>
      <c r="AY21" s="352"/>
      <c r="AZ21" s="352"/>
      <c r="BA21" s="351"/>
      <c r="BB21" s="351"/>
      <c r="BC21" s="351"/>
      <c r="BD21" s="351"/>
      <c r="BE21" s="351"/>
      <c r="BF21" s="351"/>
      <c r="BG21" s="351">
        <v>737.3</v>
      </c>
      <c r="BH21" s="351"/>
      <c r="BI21" s="351"/>
      <c r="BJ21" s="351"/>
      <c r="BK21" s="351"/>
      <c r="BL21" s="351"/>
      <c r="BM21" s="346">
        <f t="shared" si="14"/>
        <v>737.3</v>
      </c>
      <c r="BN21" s="335">
        <f t="shared" si="12"/>
        <v>0</v>
      </c>
      <c r="BO21" s="170"/>
      <c r="BP21" s="102">
        <f t="shared" si="2"/>
        <v>737.3</v>
      </c>
      <c r="BQ21" s="186">
        <f t="shared" si="19"/>
        <v>100</v>
      </c>
      <c r="BR21" s="266">
        <f t="shared" si="3"/>
        <v>0</v>
      </c>
      <c r="BS21" s="186">
        <f t="shared" si="29"/>
        <v>1275.60553633218</v>
      </c>
      <c r="BT21" s="186">
        <f t="shared" si="5"/>
        <v>679.5</v>
      </c>
      <c r="BU21" s="186"/>
      <c r="BV21" s="549">
        <v>737.3</v>
      </c>
      <c r="BW21" s="550">
        <f t="shared" si="25"/>
        <v>0</v>
      </c>
    </row>
    <row r="22" spans="1:79" s="14" customFormat="1" ht="31.5" customHeight="1" outlineLevel="2" x14ac:dyDescent="0.3">
      <c r="A22" s="5"/>
      <c r="B22" s="194" t="s">
        <v>570</v>
      </c>
      <c r="C22" s="137"/>
      <c r="D22" s="36">
        <v>6</v>
      </c>
      <c r="E22" s="379">
        <v>513.1</v>
      </c>
      <c r="F22" s="176">
        <v>6.9</v>
      </c>
      <c r="G22" s="176">
        <v>6.2</v>
      </c>
      <c r="H22" s="176">
        <v>6.4</v>
      </c>
      <c r="I22" s="176">
        <v>8.3000000000000007</v>
      </c>
      <c r="J22" s="176">
        <v>13.3</v>
      </c>
      <c r="K22" s="176"/>
      <c r="L22" s="176">
        <v>2.6</v>
      </c>
      <c r="M22" s="176">
        <v>0.2</v>
      </c>
      <c r="N22" s="176">
        <v>0.6</v>
      </c>
      <c r="O22" s="176">
        <v>7.9</v>
      </c>
      <c r="P22" s="176">
        <v>0.6</v>
      </c>
      <c r="Q22" s="176">
        <v>0.1</v>
      </c>
      <c r="R22" s="174">
        <f t="shared" si="22"/>
        <v>53.100000000000009</v>
      </c>
      <c r="S22" s="324">
        <v>138.30000000000001</v>
      </c>
      <c r="T22" s="324">
        <f t="shared" si="13"/>
        <v>126.20000000000002</v>
      </c>
      <c r="U22" s="351">
        <v>0</v>
      </c>
      <c r="V22" s="351">
        <v>0.2</v>
      </c>
      <c r="W22" s="351">
        <v>22</v>
      </c>
      <c r="X22" s="351">
        <f>11+8.1</f>
        <v>19.100000000000001</v>
      </c>
      <c r="Y22" s="351">
        <v>7.2</v>
      </c>
      <c r="Z22" s="351">
        <v>12.1</v>
      </c>
      <c r="AA22" s="351">
        <v>20.399999999999999</v>
      </c>
      <c r="AB22" s="351">
        <v>11.4</v>
      </c>
      <c r="AC22" s="351">
        <v>11.4</v>
      </c>
      <c r="AD22" s="351">
        <v>11.2</v>
      </c>
      <c r="AE22" s="351">
        <v>11.2</v>
      </c>
      <c r="AF22" s="351">
        <f>0.6+11.6</f>
        <v>12.2</v>
      </c>
      <c r="AG22" s="346">
        <f t="shared" si="23"/>
        <v>138.4</v>
      </c>
      <c r="AH22" s="335">
        <v>122.4</v>
      </c>
      <c r="AI22" s="335">
        <v>167.7</v>
      </c>
      <c r="AJ22" s="337">
        <f t="shared" si="24"/>
        <v>122.4</v>
      </c>
      <c r="AK22" s="319">
        <f t="shared" si="26"/>
        <v>30</v>
      </c>
      <c r="AL22" s="390"/>
      <c r="AM22" s="390">
        <v>10</v>
      </c>
      <c r="AN22" s="390">
        <v>20</v>
      </c>
      <c r="AO22" s="322">
        <f t="shared" si="27"/>
        <v>30</v>
      </c>
      <c r="AP22" s="390">
        <v>10</v>
      </c>
      <c r="AQ22" s="390">
        <v>20</v>
      </c>
      <c r="AR22" s="94"/>
      <c r="AS22" s="349">
        <f t="shared" si="28"/>
        <v>30</v>
      </c>
      <c r="AT22" s="390"/>
      <c r="AU22" s="390">
        <v>30</v>
      </c>
      <c r="AV22" s="390"/>
      <c r="AW22" s="345">
        <f t="shared" si="11"/>
        <v>32.4</v>
      </c>
      <c r="AX22" s="390">
        <v>32.4</v>
      </c>
      <c r="AY22" s="390"/>
      <c r="AZ22" s="391"/>
      <c r="BA22" s="351">
        <v>11.3</v>
      </c>
      <c r="BB22" s="351">
        <v>11</v>
      </c>
      <c r="BC22" s="351">
        <v>11.1</v>
      </c>
      <c r="BD22" s="351">
        <v>11.2</v>
      </c>
      <c r="BE22" s="351">
        <v>11.2</v>
      </c>
      <c r="BF22" s="351">
        <v>11.2</v>
      </c>
      <c r="BG22" s="351">
        <v>42.7</v>
      </c>
      <c r="BH22" s="351">
        <v>11</v>
      </c>
      <c r="BI22" s="351">
        <v>11.9</v>
      </c>
      <c r="BJ22" s="351">
        <f>89.9+11.5-90</f>
        <v>11.400000000000006</v>
      </c>
      <c r="BK22" s="351">
        <v>12.4</v>
      </c>
      <c r="BL22" s="351">
        <v>11.2</v>
      </c>
      <c r="BM22" s="346">
        <f t="shared" si="14"/>
        <v>167.6</v>
      </c>
      <c r="BN22" s="335">
        <f t="shared" si="12"/>
        <v>11.2</v>
      </c>
      <c r="BO22" s="170">
        <f>BM22/AH22*100</f>
        <v>136.92810457516339</v>
      </c>
      <c r="BP22" s="102">
        <f t="shared" si="2"/>
        <v>45.199999999999989</v>
      </c>
      <c r="BQ22" s="186">
        <f t="shared" si="19"/>
        <v>99.94036970781157</v>
      </c>
      <c r="BR22" s="266">
        <f t="shared" si="3"/>
        <v>-9.9999999999994316E-2</v>
      </c>
      <c r="BS22" s="186">
        <f t="shared" si="29"/>
        <v>121.09826589595374</v>
      </c>
      <c r="BT22" s="186">
        <f t="shared" si="5"/>
        <v>29.199999999999989</v>
      </c>
      <c r="BU22" s="186"/>
      <c r="BV22" s="549">
        <v>156.4</v>
      </c>
      <c r="BW22" s="550">
        <f t="shared" si="25"/>
        <v>-11.299999999999983</v>
      </c>
    </row>
    <row r="23" spans="1:79" s="14" customFormat="1" ht="33.75" customHeight="1" outlineLevel="2" x14ac:dyDescent="0.3">
      <c r="A23" s="5" t="s">
        <v>27</v>
      </c>
      <c r="B23" s="194" t="s">
        <v>571</v>
      </c>
      <c r="C23" s="137"/>
      <c r="D23" s="36">
        <v>2685.7</v>
      </c>
      <c r="E23" s="379">
        <v>7199.5</v>
      </c>
      <c r="F23" s="176">
        <v>292.89999999999998</v>
      </c>
      <c r="G23" s="176">
        <v>373.4</v>
      </c>
      <c r="H23" s="176"/>
      <c r="I23" s="176">
        <f>32.3+825</f>
        <v>857.3</v>
      </c>
      <c r="J23" s="176">
        <v>1398.1</v>
      </c>
      <c r="K23" s="176">
        <v>183.1</v>
      </c>
      <c r="L23" s="176">
        <f>221+706.5</f>
        <v>927.5</v>
      </c>
      <c r="M23" s="176">
        <v>48.4</v>
      </c>
      <c r="N23" s="176">
        <v>589.4</v>
      </c>
      <c r="O23" s="176">
        <f>2.1+389.6+195.3</f>
        <v>587</v>
      </c>
      <c r="P23" s="176">
        <v>308.5</v>
      </c>
      <c r="Q23" s="176">
        <v>419</v>
      </c>
      <c r="R23" s="174">
        <f t="shared" si="22"/>
        <v>5984.5999999999995</v>
      </c>
      <c r="S23" s="324">
        <v>7402.3</v>
      </c>
      <c r="T23" s="324">
        <f t="shared" si="13"/>
        <v>7239.8000000000011</v>
      </c>
      <c r="U23" s="351">
        <v>132.69999999999999</v>
      </c>
      <c r="V23" s="351">
        <f>29.6+44.7</f>
        <v>74.300000000000011</v>
      </c>
      <c r="W23" s="351">
        <v>59.4</v>
      </c>
      <c r="X23" s="351">
        <v>882.9</v>
      </c>
      <c r="Y23" s="351">
        <v>308.39999999999998</v>
      </c>
      <c r="Z23" s="351">
        <v>1733.7</v>
      </c>
      <c r="AA23" s="351">
        <v>1395.6</v>
      </c>
      <c r="AB23" s="351">
        <v>1554.1</v>
      </c>
      <c r="AC23" s="351">
        <f>319.2+292.1</f>
        <v>611.29999999999995</v>
      </c>
      <c r="AD23" s="351">
        <f>213.3+33.2+129.3</f>
        <v>375.8</v>
      </c>
      <c r="AE23" s="351">
        <v>111.6</v>
      </c>
      <c r="AF23" s="351">
        <v>162.5</v>
      </c>
      <c r="AG23" s="346">
        <f t="shared" si="23"/>
        <v>7402.3000000000011</v>
      </c>
      <c r="AH23" s="335">
        <v>4500</v>
      </c>
      <c r="AI23" s="335">
        <v>12108.5</v>
      </c>
      <c r="AJ23" s="337">
        <f t="shared" si="24"/>
        <v>4500</v>
      </c>
      <c r="AK23" s="319">
        <f t="shared" si="26"/>
        <v>300</v>
      </c>
      <c r="AL23" s="390">
        <v>100</v>
      </c>
      <c r="AM23" s="390">
        <v>100</v>
      </c>
      <c r="AN23" s="390">
        <v>100</v>
      </c>
      <c r="AO23" s="322">
        <f t="shared" si="27"/>
        <v>1500</v>
      </c>
      <c r="AP23" s="390">
        <v>0</v>
      </c>
      <c r="AQ23" s="390">
        <v>1000</v>
      </c>
      <c r="AR23" s="94">
        <v>500</v>
      </c>
      <c r="AS23" s="349">
        <f t="shared" si="28"/>
        <v>1500</v>
      </c>
      <c r="AT23" s="390"/>
      <c r="AU23" s="390">
        <v>1000</v>
      </c>
      <c r="AV23" s="390">
        <v>500</v>
      </c>
      <c r="AW23" s="345">
        <f t="shared" si="11"/>
        <v>1200</v>
      </c>
      <c r="AX23" s="390">
        <v>1200</v>
      </c>
      <c r="AY23" s="390"/>
      <c r="AZ23" s="390"/>
      <c r="BA23" s="351">
        <v>155</v>
      </c>
      <c r="BB23" s="351">
        <v>371.8</v>
      </c>
      <c r="BC23" s="351">
        <v>554</v>
      </c>
      <c r="BD23" s="351">
        <v>777.8</v>
      </c>
      <c r="BE23" s="351">
        <f>116+23</f>
        <v>139</v>
      </c>
      <c r="BF23" s="351">
        <v>166.5</v>
      </c>
      <c r="BG23" s="351">
        <v>341.7</v>
      </c>
      <c r="BH23" s="351"/>
      <c r="BI23" s="351">
        <v>314.7</v>
      </c>
      <c r="BJ23" s="351">
        <v>4910.8</v>
      </c>
      <c r="BK23" s="351">
        <f>21.6+212.7</f>
        <v>234.29999999999998</v>
      </c>
      <c r="BL23" s="351">
        <f>246.7+19.9+26.3+0.7+3849.4+32.3</f>
        <v>4175.3</v>
      </c>
      <c r="BM23" s="346">
        <f t="shared" si="14"/>
        <v>12140.9</v>
      </c>
      <c r="BN23" s="335">
        <f t="shared" si="12"/>
        <v>4175.3</v>
      </c>
      <c r="BO23" s="170">
        <f>BM23/AH23*100</f>
        <v>269.79777777777775</v>
      </c>
      <c r="BP23" s="102">
        <f t="shared" si="2"/>
        <v>7640.9</v>
      </c>
      <c r="BQ23" s="186">
        <f t="shared" si="19"/>
        <v>100.26758062518067</v>
      </c>
      <c r="BR23" s="266">
        <f t="shared" si="3"/>
        <v>32.399999999999636</v>
      </c>
      <c r="BS23" s="186">
        <f t="shared" si="29"/>
        <v>164.01523850695051</v>
      </c>
      <c r="BT23" s="186">
        <f t="shared" si="5"/>
        <v>4738.5999999999985</v>
      </c>
      <c r="BU23" s="186"/>
      <c r="BV23" s="549">
        <v>8431.2999999999993</v>
      </c>
      <c r="BW23" s="550">
        <f t="shared" si="25"/>
        <v>-3677.2000000000007</v>
      </c>
    </row>
    <row r="24" spans="1:79" s="14" customFormat="1" ht="33.75" customHeight="1" outlineLevel="2" x14ac:dyDescent="0.25">
      <c r="A24" s="5" t="s">
        <v>28</v>
      </c>
      <c r="B24" s="194" t="s">
        <v>424</v>
      </c>
      <c r="C24" s="137"/>
      <c r="D24" s="36">
        <v>1593</v>
      </c>
      <c r="E24" s="379">
        <v>654.79999999999995</v>
      </c>
      <c r="F24" s="176">
        <v>0</v>
      </c>
      <c r="G24" s="176"/>
      <c r="H24" s="176"/>
      <c r="I24" s="176"/>
      <c r="J24" s="176">
        <v>0</v>
      </c>
      <c r="K24" s="176">
        <f>1.6+2.4</f>
        <v>4</v>
      </c>
      <c r="L24" s="176">
        <f>232.6+50.4</f>
        <v>283</v>
      </c>
      <c r="M24" s="176">
        <v>651.6</v>
      </c>
      <c r="N24" s="176"/>
      <c r="O24" s="176">
        <v>0</v>
      </c>
      <c r="P24" s="176"/>
      <c r="Q24" s="176"/>
      <c r="R24" s="174">
        <f t="shared" si="22"/>
        <v>938.6</v>
      </c>
      <c r="S24" s="324">
        <v>487.6</v>
      </c>
      <c r="T24" s="324">
        <f t="shared" si="13"/>
        <v>487.6</v>
      </c>
      <c r="U24" s="351"/>
      <c r="V24" s="351"/>
      <c r="W24" s="351"/>
      <c r="X24" s="351"/>
      <c r="Y24" s="351"/>
      <c r="Z24" s="351"/>
      <c r="AA24" s="351"/>
      <c r="AB24" s="351"/>
      <c r="AC24" s="351">
        <f>124.2+19.6+127.8</f>
        <v>271.60000000000002</v>
      </c>
      <c r="AD24" s="351"/>
      <c r="AE24" s="351">
        <v>216</v>
      </c>
      <c r="AF24" s="351"/>
      <c r="AG24" s="346">
        <f t="shared" si="23"/>
        <v>487.6</v>
      </c>
      <c r="AH24" s="335">
        <v>650</v>
      </c>
      <c r="AI24" s="335"/>
      <c r="AJ24" s="337">
        <f t="shared" si="24"/>
        <v>650</v>
      </c>
      <c r="AK24" s="319">
        <f t="shared" si="26"/>
        <v>0</v>
      </c>
      <c r="AL24" s="321"/>
      <c r="AM24" s="321">
        <v>0</v>
      </c>
      <c r="AN24" s="321"/>
      <c r="AO24" s="322">
        <f t="shared" si="27"/>
        <v>0</v>
      </c>
      <c r="AP24" s="321"/>
      <c r="AQ24" s="321"/>
      <c r="AR24" s="352"/>
      <c r="AS24" s="349">
        <f t="shared" si="28"/>
        <v>0</v>
      </c>
      <c r="AT24" s="352"/>
      <c r="AU24" s="352"/>
      <c r="AV24" s="352"/>
      <c r="AW24" s="345">
        <f t="shared" si="11"/>
        <v>650</v>
      </c>
      <c r="AX24" s="352"/>
      <c r="AY24" s="352"/>
      <c r="AZ24" s="352">
        <v>650</v>
      </c>
      <c r="BA24" s="351"/>
      <c r="BB24" s="351"/>
      <c r="BC24" s="351"/>
      <c r="BD24" s="351"/>
      <c r="BE24" s="351"/>
      <c r="BF24" s="351"/>
      <c r="BG24" s="351"/>
      <c r="BH24" s="351"/>
      <c r="BI24" s="351"/>
      <c r="BJ24" s="351"/>
      <c r="BK24" s="351"/>
      <c r="BL24" s="351"/>
      <c r="BM24" s="346">
        <f t="shared" si="14"/>
        <v>0</v>
      </c>
      <c r="BN24" s="335">
        <f t="shared" si="12"/>
        <v>-650</v>
      </c>
      <c r="BO24" s="170">
        <f>BM24/AH24*100</f>
        <v>0</v>
      </c>
      <c r="BP24" s="102">
        <f t="shared" si="2"/>
        <v>-650</v>
      </c>
      <c r="BQ24" s="186"/>
      <c r="BR24" s="266">
        <f t="shared" si="3"/>
        <v>0</v>
      </c>
      <c r="BS24" s="186">
        <f t="shared" si="29"/>
        <v>0</v>
      </c>
      <c r="BT24" s="186">
        <f t="shared" si="5"/>
        <v>-487.6</v>
      </c>
      <c r="BU24" s="186"/>
      <c r="BV24" s="549">
        <v>150</v>
      </c>
      <c r="BW24" s="550">
        <f t="shared" si="25"/>
        <v>150</v>
      </c>
    </row>
    <row r="25" spans="1:79" s="14" customFormat="1" ht="22.5" customHeight="1" outlineLevel="1" x14ac:dyDescent="0.3">
      <c r="A25" s="5" t="s">
        <v>29</v>
      </c>
      <c r="B25" s="194" t="s">
        <v>109</v>
      </c>
      <c r="C25" s="137"/>
      <c r="D25" s="36">
        <v>883.1</v>
      </c>
      <c r="E25" s="379">
        <v>527</v>
      </c>
      <c r="F25" s="176">
        <v>109.7</v>
      </c>
      <c r="G25" s="176">
        <v>46.4</v>
      </c>
      <c r="H25" s="176">
        <v>7.7</v>
      </c>
      <c r="I25" s="176">
        <f>7.8+84.6</f>
        <v>92.399999999999991</v>
      </c>
      <c r="J25" s="176">
        <v>69.099999999999994</v>
      </c>
      <c r="K25" s="176">
        <f>13.6+16.5</f>
        <v>30.1</v>
      </c>
      <c r="L25" s="176">
        <f>4.5+75.6+0.4+0.7</f>
        <v>81.2</v>
      </c>
      <c r="M25" s="176">
        <v>298.5</v>
      </c>
      <c r="N25" s="176">
        <v>303.10000000000002</v>
      </c>
      <c r="O25" s="176">
        <v>83.9</v>
      </c>
      <c r="P25" s="176">
        <f>0.5+126.4+0.5</f>
        <v>127.4</v>
      </c>
      <c r="Q25" s="176">
        <f>217+0.7+0.6+5.3+0.2</f>
        <v>223.79999999999998</v>
      </c>
      <c r="R25" s="174">
        <f t="shared" si="22"/>
        <v>1473.3</v>
      </c>
      <c r="S25" s="324">
        <v>1427.3</v>
      </c>
      <c r="T25" s="324">
        <f t="shared" si="13"/>
        <v>1395.8</v>
      </c>
      <c r="U25" s="351">
        <f>1.5+27.1</f>
        <v>28.6</v>
      </c>
      <c r="V25" s="351">
        <f>0.7+35.9</f>
        <v>36.6</v>
      </c>
      <c r="W25" s="351">
        <v>394.8</v>
      </c>
      <c r="X25" s="351">
        <f>0.5+35.9</f>
        <v>36.4</v>
      </c>
      <c r="Y25" s="351">
        <v>53.9</v>
      </c>
      <c r="Z25" s="351">
        <v>63.2</v>
      </c>
      <c r="AA25" s="351">
        <v>51.3</v>
      </c>
      <c r="AB25" s="351">
        <v>294.60000000000002</v>
      </c>
      <c r="AC25" s="351">
        <f>5+37.6+126.5+0.6</f>
        <v>169.7</v>
      </c>
      <c r="AD25" s="351">
        <v>197.3</v>
      </c>
      <c r="AE25" s="351">
        <f>2.3+67.1</f>
        <v>69.399999999999991</v>
      </c>
      <c r="AF25" s="351">
        <f>2.5+35+0.5+0.5+5.1</f>
        <v>43.6</v>
      </c>
      <c r="AG25" s="346">
        <f t="shared" si="23"/>
        <v>1439.3999999999999</v>
      </c>
      <c r="AH25" s="335">
        <v>749.5</v>
      </c>
      <c r="AI25" s="335">
        <v>842.3</v>
      </c>
      <c r="AJ25" s="337">
        <f t="shared" si="24"/>
        <v>749.5</v>
      </c>
      <c r="AK25" s="319">
        <f t="shared" si="26"/>
        <v>160</v>
      </c>
      <c r="AL25" s="390">
        <v>30</v>
      </c>
      <c r="AM25" s="390">
        <v>30</v>
      </c>
      <c r="AN25" s="390">
        <v>100</v>
      </c>
      <c r="AO25" s="322">
        <f t="shared" si="27"/>
        <v>180</v>
      </c>
      <c r="AP25" s="390">
        <v>60</v>
      </c>
      <c r="AQ25" s="390">
        <v>60</v>
      </c>
      <c r="AR25" s="94">
        <v>60</v>
      </c>
      <c r="AS25" s="349">
        <f t="shared" si="28"/>
        <v>220</v>
      </c>
      <c r="AT25" s="390">
        <v>100</v>
      </c>
      <c r="AU25" s="390">
        <v>60</v>
      </c>
      <c r="AV25" s="390">
        <v>60</v>
      </c>
      <c r="AW25" s="345">
        <f t="shared" si="11"/>
        <v>189.5</v>
      </c>
      <c r="AX25" s="390">
        <v>100</v>
      </c>
      <c r="AY25" s="390">
        <v>60</v>
      </c>
      <c r="AZ25" s="391">
        <v>29.5</v>
      </c>
      <c r="BA25" s="351">
        <f>0.8+19.4+2.9+2+5.6</f>
        <v>30.699999999999996</v>
      </c>
      <c r="BB25" s="351">
        <v>47.1</v>
      </c>
      <c r="BC25" s="351">
        <v>26.7</v>
      </c>
      <c r="BD25" s="351">
        <f>2.7+48</f>
        <v>50.7</v>
      </c>
      <c r="BE25" s="351">
        <v>213.7</v>
      </c>
      <c r="BF25" s="351">
        <f>25+16.9</f>
        <v>41.9</v>
      </c>
      <c r="BG25" s="351">
        <v>61.6</v>
      </c>
      <c r="BH25" s="351">
        <v>97.7</v>
      </c>
      <c r="BI25" s="351">
        <v>34.299999999999997</v>
      </c>
      <c r="BJ25" s="351">
        <f>36.8+4.3</f>
        <v>41.099999999999994</v>
      </c>
      <c r="BK25" s="351">
        <f>6.5+33.6+2.5+1</f>
        <v>43.6</v>
      </c>
      <c r="BL25" s="351">
        <f>0.8+2.5+0.5+2.3+1.5+3.7+2+133.8+5.4+0.8-13.4+1+2.8+14.8+0.2+1.8+0.7+2.5+1.4+0.5</f>
        <v>165.60000000000005</v>
      </c>
      <c r="BM25" s="346">
        <f t="shared" si="14"/>
        <v>854.7</v>
      </c>
      <c r="BN25" s="335">
        <f t="shared" si="12"/>
        <v>136.10000000000005</v>
      </c>
      <c r="BO25" s="170">
        <f>BM25/AH25*100</f>
        <v>114.03602401601067</v>
      </c>
      <c r="BP25" s="102">
        <f t="shared" si="2"/>
        <v>105.20000000000005</v>
      </c>
      <c r="BQ25" s="186">
        <f>BM25/AI25*100</f>
        <v>101.47215956310104</v>
      </c>
      <c r="BR25" s="266">
        <f t="shared" si="3"/>
        <v>12.400000000000091</v>
      </c>
      <c r="BS25" s="186">
        <f t="shared" si="29"/>
        <v>59.378907878282625</v>
      </c>
      <c r="BT25" s="186">
        <f t="shared" si="5"/>
        <v>-584.69999999999982</v>
      </c>
      <c r="BU25" s="186"/>
      <c r="BV25" s="549">
        <v>806.4</v>
      </c>
      <c r="BW25" s="550">
        <f t="shared" si="25"/>
        <v>-35.899999999999977</v>
      </c>
    </row>
    <row r="26" spans="1:79" s="317" customFormat="1" ht="30.75" customHeight="1" outlineLevel="1" x14ac:dyDescent="0.25">
      <c r="A26" s="315"/>
      <c r="B26" s="97" t="s">
        <v>178</v>
      </c>
      <c r="C26" s="316"/>
      <c r="D26" s="95">
        <v>12</v>
      </c>
      <c r="E26" s="382">
        <v>0.6</v>
      </c>
      <c r="F26" s="176">
        <v>0</v>
      </c>
      <c r="G26" s="176"/>
      <c r="H26" s="176"/>
      <c r="I26" s="176"/>
      <c r="J26" s="176"/>
      <c r="K26" s="176"/>
      <c r="L26" s="176"/>
      <c r="M26" s="176">
        <v>1066.0999999999999</v>
      </c>
      <c r="N26" s="176">
        <v>-1066.0999999999999</v>
      </c>
      <c r="O26" s="176"/>
      <c r="P26" s="176"/>
      <c r="Q26" s="176"/>
      <c r="R26" s="174">
        <f t="shared" si="22"/>
        <v>0</v>
      </c>
      <c r="S26" s="324">
        <v>0.7</v>
      </c>
      <c r="T26" s="324">
        <f t="shared" si="13"/>
        <v>0.7</v>
      </c>
      <c r="U26" s="176">
        <v>0.6</v>
      </c>
      <c r="V26" s="176"/>
      <c r="W26" s="176">
        <v>0.1</v>
      </c>
      <c r="X26" s="176"/>
      <c r="Y26" s="176"/>
      <c r="Z26" s="176"/>
      <c r="AA26" s="176"/>
      <c r="AB26" s="176"/>
      <c r="AC26" s="176"/>
      <c r="AD26" s="176"/>
      <c r="AE26" s="176"/>
      <c r="AF26" s="174"/>
      <c r="AG26" s="346">
        <f t="shared" si="23"/>
        <v>0.7</v>
      </c>
      <c r="AH26" s="335">
        <v>0</v>
      </c>
      <c r="AI26" s="335">
        <v>0.6</v>
      </c>
      <c r="AJ26" s="337">
        <f t="shared" si="24"/>
        <v>0</v>
      </c>
      <c r="AK26" s="319">
        <f t="shared" si="26"/>
        <v>0</v>
      </c>
      <c r="AL26" s="318"/>
      <c r="AM26" s="324">
        <v>0</v>
      </c>
      <c r="AN26" s="318"/>
      <c r="AO26" s="322">
        <f t="shared" si="27"/>
        <v>0</v>
      </c>
      <c r="AP26" s="318"/>
      <c r="AQ26" s="318"/>
      <c r="AR26" s="174"/>
      <c r="AS26" s="349">
        <f t="shared" si="28"/>
        <v>0</v>
      </c>
      <c r="AT26" s="174"/>
      <c r="AU26" s="174"/>
      <c r="AV26" s="174"/>
      <c r="AW26" s="345">
        <f t="shared" si="11"/>
        <v>0</v>
      </c>
      <c r="AX26" s="174"/>
      <c r="AY26" s="174"/>
      <c r="AZ26" s="174"/>
      <c r="BA26" s="176">
        <v>0.1</v>
      </c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>
        <v>0.5</v>
      </c>
      <c r="BM26" s="346">
        <f t="shared" si="14"/>
        <v>0.6</v>
      </c>
      <c r="BN26" s="335">
        <f t="shared" si="12"/>
        <v>0.5</v>
      </c>
      <c r="BO26" s="170"/>
      <c r="BP26" s="102">
        <f t="shared" si="2"/>
        <v>0.6</v>
      </c>
      <c r="BQ26" s="186">
        <f>BM26/AI26*100</f>
        <v>100</v>
      </c>
      <c r="BR26" s="266">
        <f t="shared" si="3"/>
        <v>0</v>
      </c>
      <c r="BS26" s="186">
        <f t="shared" si="29"/>
        <v>85.714285714285722</v>
      </c>
      <c r="BT26" s="186">
        <f t="shared" si="5"/>
        <v>-9.9999999999999978E-2</v>
      </c>
      <c r="BU26" s="186"/>
      <c r="BV26" s="268">
        <v>0.1</v>
      </c>
      <c r="BW26" s="550">
        <f t="shared" si="25"/>
        <v>-0.5</v>
      </c>
    </row>
    <row r="27" spans="1:79" s="317" customFormat="1" ht="18.75" customHeight="1" outlineLevel="1" x14ac:dyDescent="0.25">
      <c r="A27" s="315"/>
      <c r="B27" s="197" t="s">
        <v>452</v>
      </c>
      <c r="C27" s="316"/>
      <c r="D27" s="99"/>
      <c r="E27" s="383">
        <v>539</v>
      </c>
      <c r="F27" s="176">
        <v>0</v>
      </c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4">
        <f t="shared" si="22"/>
        <v>0</v>
      </c>
      <c r="S27" s="324">
        <v>0</v>
      </c>
      <c r="T27" s="324">
        <f t="shared" si="13"/>
        <v>0</v>
      </c>
      <c r="U27" s="174">
        <v>23.1</v>
      </c>
      <c r="V27" s="176">
        <v>-23.1</v>
      </c>
      <c r="W27" s="176"/>
      <c r="X27" s="176"/>
      <c r="Y27" s="176"/>
      <c r="Z27" s="176"/>
      <c r="AA27" s="176"/>
      <c r="AB27" s="176"/>
      <c r="AC27" s="176">
        <v>8.4</v>
      </c>
      <c r="AD27" s="176">
        <v>-8.4</v>
      </c>
      <c r="AE27" s="176"/>
      <c r="AF27" s="174"/>
      <c r="AG27" s="346">
        <f t="shared" si="23"/>
        <v>0</v>
      </c>
      <c r="AH27" s="335">
        <v>0</v>
      </c>
      <c r="AI27" s="335">
        <v>0</v>
      </c>
      <c r="AJ27" s="337">
        <f t="shared" si="24"/>
        <v>0</v>
      </c>
      <c r="AK27" s="319">
        <f t="shared" si="26"/>
        <v>0</v>
      </c>
      <c r="AL27" s="318"/>
      <c r="AM27" s="324">
        <v>0</v>
      </c>
      <c r="AN27" s="318"/>
      <c r="AO27" s="322">
        <f t="shared" si="27"/>
        <v>0</v>
      </c>
      <c r="AP27" s="318"/>
      <c r="AQ27" s="318"/>
      <c r="AR27" s="174"/>
      <c r="AS27" s="349">
        <f t="shared" si="28"/>
        <v>0</v>
      </c>
      <c r="AT27" s="174"/>
      <c r="AU27" s="174"/>
      <c r="AV27" s="174"/>
      <c r="AW27" s="345">
        <f t="shared" si="11"/>
        <v>0</v>
      </c>
      <c r="AX27" s="174"/>
      <c r="AY27" s="174"/>
      <c r="AZ27" s="174"/>
      <c r="BA27" s="174"/>
      <c r="BB27" s="176"/>
      <c r="BC27" s="176"/>
      <c r="BD27" s="176"/>
      <c r="BE27" s="176"/>
      <c r="BF27" s="176">
        <v>2.2000000000000002</v>
      </c>
      <c r="BG27" s="176">
        <v>-2.2000000000000002</v>
      </c>
      <c r="BH27" s="176"/>
      <c r="BI27" s="176"/>
      <c r="BJ27" s="176"/>
      <c r="BK27" s="176">
        <v>11.7</v>
      </c>
      <c r="BL27" s="176">
        <f>-11.7</f>
        <v>-11.7</v>
      </c>
      <c r="BM27" s="346">
        <f t="shared" si="14"/>
        <v>0</v>
      </c>
      <c r="BN27" s="335">
        <f t="shared" si="12"/>
        <v>-11.7</v>
      </c>
      <c r="BO27" s="170"/>
      <c r="BP27" s="102">
        <f t="shared" si="2"/>
        <v>0</v>
      </c>
      <c r="BQ27" s="186"/>
      <c r="BR27" s="266">
        <f t="shared" si="3"/>
        <v>0</v>
      </c>
      <c r="BS27" s="186"/>
      <c r="BT27" s="186">
        <f t="shared" si="5"/>
        <v>0</v>
      </c>
      <c r="BU27" s="186"/>
      <c r="BV27" s="268">
        <v>0</v>
      </c>
      <c r="BW27" s="550">
        <f t="shared" si="25"/>
        <v>0</v>
      </c>
    </row>
    <row r="28" spans="1:79" s="317" customFormat="1" ht="23.25" customHeight="1" outlineLevel="1" x14ac:dyDescent="0.25">
      <c r="A28" s="315"/>
      <c r="B28" s="197" t="s">
        <v>381</v>
      </c>
      <c r="C28" s="316"/>
      <c r="D28" s="99"/>
      <c r="E28" s="99">
        <f>310+331.2</f>
        <v>641.20000000000005</v>
      </c>
      <c r="F28" s="176">
        <v>0</v>
      </c>
      <c r="G28" s="176"/>
      <c r="H28" s="176"/>
      <c r="I28" s="176"/>
      <c r="J28" s="176"/>
      <c r="K28" s="174">
        <v>707.9</v>
      </c>
      <c r="L28" s="176">
        <v>192.2</v>
      </c>
      <c r="M28" s="176"/>
      <c r="N28" s="176"/>
      <c r="O28" s="176"/>
      <c r="P28" s="176"/>
      <c r="Q28" s="176">
        <v>-1.4</v>
      </c>
      <c r="R28" s="174">
        <f t="shared" si="22"/>
        <v>898.69999999999993</v>
      </c>
      <c r="S28" s="324">
        <v>885.1</v>
      </c>
      <c r="T28" s="324">
        <f t="shared" si="13"/>
        <v>740.9</v>
      </c>
      <c r="U28" s="174"/>
      <c r="V28" s="174"/>
      <c r="W28" s="174"/>
      <c r="X28" s="176">
        <v>429.5</v>
      </c>
      <c r="Y28" s="176">
        <v>311.39999999999998</v>
      </c>
      <c r="Z28" s="176"/>
      <c r="AA28" s="176"/>
      <c r="AB28" s="176"/>
      <c r="AC28" s="176"/>
      <c r="AD28" s="174"/>
      <c r="AE28" s="176"/>
      <c r="AF28" s="174"/>
      <c r="AG28" s="346">
        <f t="shared" si="23"/>
        <v>740.9</v>
      </c>
      <c r="AH28" s="335">
        <v>0</v>
      </c>
      <c r="AI28" s="335">
        <v>695.4</v>
      </c>
      <c r="AJ28" s="337">
        <f>AK28+AO28+AS28+AW28</f>
        <v>695.4</v>
      </c>
      <c r="AK28" s="319">
        <f t="shared" si="26"/>
        <v>0</v>
      </c>
      <c r="AL28" s="318"/>
      <c r="AM28" s="324">
        <v>0</v>
      </c>
      <c r="AN28" s="318"/>
      <c r="AO28" s="322">
        <f t="shared" si="27"/>
        <v>689.8</v>
      </c>
      <c r="AP28" s="324"/>
      <c r="AQ28" s="324">
        <f>BE28</f>
        <v>300.2</v>
      </c>
      <c r="AR28" s="176">
        <f>BF28</f>
        <v>389.6</v>
      </c>
      <c r="AS28" s="349">
        <f t="shared" si="28"/>
        <v>5.6</v>
      </c>
      <c r="AT28" s="174">
        <v>5.6</v>
      </c>
      <c r="AU28" s="174"/>
      <c r="AV28" s="174"/>
      <c r="AW28" s="345">
        <f t="shared" si="11"/>
        <v>0</v>
      </c>
      <c r="AX28" s="174"/>
      <c r="AY28" s="174"/>
      <c r="AZ28" s="174"/>
      <c r="BA28" s="174"/>
      <c r="BB28" s="174"/>
      <c r="BC28" s="174"/>
      <c r="BD28" s="176"/>
      <c r="BE28" s="176">
        <f>109.7+190.5</f>
        <v>300.2</v>
      </c>
      <c r="BF28" s="176">
        <f>80.1+309.5</f>
        <v>389.6</v>
      </c>
      <c r="BG28" s="176">
        <v>5.6</v>
      </c>
      <c r="BH28" s="176"/>
      <c r="BI28" s="176"/>
      <c r="BJ28" s="174"/>
      <c r="BK28" s="176"/>
      <c r="BL28" s="174"/>
      <c r="BM28" s="346">
        <f t="shared" si="14"/>
        <v>695.4</v>
      </c>
      <c r="BN28" s="335">
        <f t="shared" si="12"/>
        <v>0</v>
      </c>
      <c r="BO28" s="170"/>
      <c r="BP28" s="102">
        <f t="shared" si="2"/>
        <v>695.4</v>
      </c>
      <c r="BQ28" s="186">
        <f t="shared" ref="BQ28:BQ36" si="30">BM28/AI28*100</f>
        <v>100</v>
      </c>
      <c r="BR28" s="266">
        <f t="shared" si="3"/>
        <v>0</v>
      </c>
      <c r="BS28" s="186">
        <f t="shared" ref="BS28:BS37" si="31">BM28/AG28*100</f>
        <v>93.858820353623969</v>
      </c>
      <c r="BT28" s="186">
        <f t="shared" si="5"/>
        <v>-45.5</v>
      </c>
      <c r="BU28" s="186"/>
      <c r="BV28" s="268">
        <v>695.4</v>
      </c>
      <c r="BW28" s="550">
        <f t="shared" si="25"/>
        <v>0</v>
      </c>
    </row>
    <row r="29" spans="1:79" s="14" customFormat="1" ht="24.75" customHeight="1" outlineLevel="1" x14ac:dyDescent="0.25">
      <c r="A29" s="5"/>
      <c r="B29" s="286" t="s">
        <v>146</v>
      </c>
      <c r="C29" s="287"/>
      <c r="D29" s="288">
        <f t="shared" ref="D29:S29" si="32">SUM(D15:D28)</f>
        <v>15311.000000000002</v>
      </c>
      <c r="E29" s="288">
        <f t="shared" si="32"/>
        <v>16256.6</v>
      </c>
      <c r="F29" s="236">
        <f t="shared" si="32"/>
        <v>646</v>
      </c>
      <c r="G29" s="236">
        <f t="shared" si="32"/>
        <v>1433.8000000000002</v>
      </c>
      <c r="H29" s="236">
        <f t="shared" si="32"/>
        <v>1402.7</v>
      </c>
      <c r="I29" s="236">
        <f t="shared" si="32"/>
        <v>2402.7999999999997</v>
      </c>
      <c r="J29" s="236">
        <f t="shared" si="32"/>
        <v>1801.3999999999999</v>
      </c>
      <c r="K29" s="236">
        <f t="shared" si="32"/>
        <v>1291.5999999999999</v>
      </c>
      <c r="L29" s="236">
        <f t="shared" si="32"/>
        <v>2465.6999999999998</v>
      </c>
      <c r="M29" s="236">
        <f t="shared" si="32"/>
        <v>2412.8999999999996</v>
      </c>
      <c r="N29" s="236">
        <f t="shared" si="32"/>
        <v>1181.6999999999998</v>
      </c>
      <c r="O29" s="236">
        <f t="shared" si="32"/>
        <v>1204.3000000000002</v>
      </c>
      <c r="P29" s="236">
        <f t="shared" si="32"/>
        <v>936.80000000000007</v>
      </c>
      <c r="Q29" s="236">
        <f t="shared" si="32"/>
        <v>1562.8</v>
      </c>
      <c r="R29" s="236">
        <f t="shared" si="32"/>
        <v>18742.500000000004</v>
      </c>
      <c r="S29" s="236">
        <f t="shared" si="32"/>
        <v>17563.099999999999</v>
      </c>
      <c r="T29" s="236">
        <f t="shared" ref="T29:BW29" si="33">SUM(T15:T28)</f>
        <v>15928.900000000001</v>
      </c>
      <c r="U29" s="236">
        <f t="shared" si="33"/>
        <v>603.00000000000011</v>
      </c>
      <c r="V29" s="236">
        <f t="shared" si="33"/>
        <v>587.79999999999995</v>
      </c>
      <c r="W29" s="236">
        <f t="shared" si="33"/>
        <v>987.9</v>
      </c>
      <c r="X29" s="236">
        <f t="shared" si="33"/>
        <v>1730.9</v>
      </c>
      <c r="Y29" s="236">
        <f t="shared" si="33"/>
        <v>1434.7000000000003</v>
      </c>
      <c r="Z29" s="236">
        <f t="shared" si="33"/>
        <v>2534.1999999999998</v>
      </c>
      <c r="AA29" s="236">
        <f t="shared" si="33"/>
        <v>2031.8999999999999</v>
      </c>
      <c r="AB29" s="236">
        <f t="shared" si="33"/>
        <v>2336.5</v>
      </c>
      <c r="AC29" s="236">
        <f t="shared" si="33"/>
        <v>1669.8</v>
      </c>
      <c r="AD29" s="236">
        <f t="shared" si="33"/>
        <v>1101.5</v>
      </c>
      <c r="AE29" s="236">
        <f t="shared" si="33"/>
        <v>910.7</v>
      </c>
      <c r="AF29" s="236">
        <f t="shared" si="33"/>
        <v>1414.7</v>
      </c>
      <c r="AG29" s="236">
        <f t="shared" si="33"/>
        <v>17343.700000000004</v>
      </c>
      <c r="AH29" s="236">
        <f t="shared" si="33"/>
        <v>13360.9</v>
      </c>
      <c r="AI29" s="236">
        <f t="shared" si="33"/>
        <v>21757.3</v>
      </c>
      <c r="AJ29" s="236">
        <f t="shared" si="33"/>
        <v>14056.3</v>
      </c>
      <c r="AK29" s="236">
        <f t="shared" si="33"/>
        <v>1999</v>
      </c>
      <c r="AL29" s="236">
        <f t="shared" si="33"/>
        <v>529</v>
      </c>
      <c r="AM29" s="236">
        <f t="shared" si="33"/>
        <v>670</v>
      </c>
      <c r="AN29" s="236">
        <f t="shared" si="33"/>
        <v>800</v>
      </c>
      <c r="AO29" s="236">
        <f t="shared" si="33"/>
        <v>4143.8</v>
      </c>
      <c r="AP29" s="236">
        <f t="shared" si="33"/>
        <v>520</v>
      </c>
      <c r="AQ29" s="236">
        <f t="shared" si="33"/>
        <v>2194.1999999999998</v>
      </c>
      <c r="AR29" s="236">
        <f t="shared" si="33"/>
        <v>1429.6</v>
      </c>
      <c r="AS29" s="236">
        <f t="shared" si="33"/>
        <v>3565.6</v>
      </c>
      <c r="AT29" s="236">
        <f t="shared" si="33"/>
        <v>955.6</v>
      </c>
      <c r="AU29" s="236">
        <f t="shared" si="33"/>
        <v>1550</v>
      </c>
      <c r="AV29" s="236">
        <f t="shared" si="33"/>
        <v>1060</v>
      </c>
      <c r="AW29" s="236">
        <f t="shared" si="33"/>
        <v>4347.8999999999996</v>
      </c>
      <c r="AX29" s="236">
        <f t="shared" si="33"/>
        <v>2180</v>
      </c>
      <c r="AY29" s="236">
        <f t="shared" si="33"/>
        <v>550</v>
      </c>
      <c r="AZ29" s="236">
        <f t="shared" si="33"/>
        <v>1617.8999999999999</v>
      </c>
      <c r="BA29" s="236">
        <f t="shared" si="33"/>
        <v>540.80000000000007</v>
      </c>
      <c r="BB29" s="236">
        <f t="shared" si="33"/>
        <v>1295.8</v>
      </c>
      <c r="BC29" s="236">
        <f t="shared" si="33"/>
        <v>1385.2</v>
      </c>
      <c r="BD29" s="236">
        <f t="shared" si="33"/>
        <v>1530.9</v>
      </c>
      <c r="BE29" s="236">
        <f t="shared" si="33"/>
        <v>1360.7000000000003</v>
      </c>
      <c r="BF29" s="236">
        <f t="shared" si="33"/>
        <v>1140.4000000000001</v>
      </c>
      <c r="BG29" s="236">
        <f>SUM(BG15:BG28)</f>
        <v>1809.1999999999998</v>
      </c>
      <c r="BH29" s="236">
        <f t="shared" si="33"/>
        <v>520.29999999999995</v>
      </c>
      <c r="BI29" s="236">
        <f t="shared" si="33"/>
        <v>784.19999999999993</v>
      </c>
      <c r="BJ29" s="236">
        <f t="shared" si="33"/>
        <v>5808.6</v>
      </c>
      <c r="BK29" s="236">
        <f t="shared" si="33"/>
        <v>685.1</v>
      </c>
      <c r="BL29" s="236">
        <f t="shared" si="33"/>
        <v>5011.5000000000009</v>
      </c>
      <c r="BM29" s="236">
        <f t="shared" si="33"/>
        <v>21872.7</v>
      </c>
      <c r="BN29" s="489">
        <f t="shared" si="33"/>
        <v>3393.6000000000004</v>
      </c>
      <c r="BO29" s="333">
        <f t="shared" ref="BO29:BO36" si="34">BM29/AH29*100</f>
        <v>163.70678621949122</v>
      </c>
      <c r="BP29" s="236">
        <f t="shared" si="33"/>
        <v>8511.8000000000011</v>
      </c>
      <c r="BQ29" s="266">
        <f t="shared" si="30"/>
        <v>100.53039669444279</v>
      </c>
      <c r="BR29" s="236">
        <f t="shared" si="33"/>
        <v>115.39999999999992</v>
      </c>
      <c r="BS29" s="266">
        <f t="shared" si="31"/>
        <v>126.11322843453239</v>
      </c>
      <c r="BT29" s="266">
        <f t="shared" si="5"/>
        <v>4528.9999999999964</v>
      </c>
      <c r="BU29" s="236"/>
      <c r="BV29" s="236">
        <f t="shared" si="33"/>
        <v>18030.800000000003</v>
      </c>
      <c r="BW29" s="236">
        <f t="shared" si="33"/>
        <v>-3726.5000000000009</v>
      </c>
    </row>
    <row r="30" spans="1:79" s="14" customFormat="1" ht="39" outlineLevel="1" x14ac:dyDescent="0.25">
      <c r="A30" s="5"/>
      <c r="B30" s="310" t="s">
        <v>110</v>
      </c>
      <c r="C30" s="162"/>
      <c r="D30" s="167">
        <f t="shared" ref="D30:BM30" si="35">D29+D14</f>
        <v>246233.19999999998</v>
      </c>
      <c r="E30" s="167">
        <f t="shared" si="35"/>
        <v>283154.3</v>
      </c>
      <c r="F30" s="106">
        <f t="shared" si="35"/>
        <v>8073.2999999999993</v>
      </c>
      <c r="G30" s="106">
        <f t="shared" si="35"/>
        <v>1100.9000000000001</v>
      </c>
      <c r="H30" s="106">
        <f t="shared" si="35"/>
        <v>35567.999999999993</v>
      </c>
      <c r="I30" s="106">
        <f t="shared" si="35"/>
        <v>31289.699999999997</v>
      </c>
      <c r="J30" s="106">
        <f t="shared" si="35"/>
        <v>21499.200000000004</v>
      </c>
      <c r="K30" s="106">
        <f t="shared" si="35"/>
        <v>24216.399999999994</v>
      </c>
      <c r="L30" s="106">
        <f t="shared" si="35"/>
        <v>27046.9</v>
      </c>
      <c r="M30" s="106">
        <f t="shared" si="35"/>
        <v>23315.800000000003</v>
      </c>
      <c r="N30" s="106">
        <f t="shared" si="35"/>
        <v>20829.000000000004</v>
      </c>
      <c r="O30" s="106">
        <f t="shared" si="35"/>
        <v>13264.000000000004</v>
      </c>
      <c r="P30" s="106">
        <f t="shared" si="35"/>
        <v>21420.299999999996</v>
      </c>
      <c r="Q30" s="106">
        <f t="shared" si="35"/>
        <v>46060.200000000004</v>
      </c>
      <c r="R30" s="106">
        <f t="shared" si="35"/>
        <v>273683.70000000007</v>
      </c>
      <c r="S30" s="106">
        <f t="shared" si="35"/>
        <v>316041.90000000002</v>
      </c>
      <c r="T30" s="106">
        <f t="shared" si="35"/>
        <v>288571.90000000008</v>
      </c>
      <c r="U30" s="106">
        <f t="shared" si="35"/>
        <v>12518.500000000002</v>
      </c>
      <c r="V30" s="106">
        <f t="shared" si="35"/>
        <v>19864.999999999996</v>
      </c>
      <c r="W30" s="106">
        <f t="shared" si="35"/>
        <v>21304.100000000002</v>
      </c>
      <c r="X30" s="106">
        <f t="shared" si="35"/>
        <v>19244.900000000001</v>
      </c>
      <c r="Y30" s="106">
        <f t="shared" si="35"/>
        <v>31903.900000000005</v>
      </c>
      <c r="Z30" s="106">
        <f t="shared" si="35"/>
        <v>29880.600000000002</v>
      </c>
      <c r="AA30" s="106">
        <f t="shared" si="35"/>
        <v>36289.500000000007</v>
      </c>
      <c r="AB30" s="106">
        <f t="shared" si="35"/>
        <v>23526.900000000005</v>
      </c>
      <c r="AC30" s="106">
        <f t="shared" si="35"/>
        <v>25245.3</v>
      </c>
      <c r="AD30" s="106">
        <f t="shared" si="35"/>
        <v>37430.399999999994</v>
      </c>
      <c r="AE30" s="106">
        <f t="shared" si="35"/>
        <v>31362.9</v>
      </c>
      <c r="AF30" s="106">
        <f t="shared" si="35"/>
        <v>49374.600000000013</v>
      </c>
      <c r="AG30" s="106">
        <f t="shared" si="35"/>
        <v>337946.7</v>
      </c>
      <c r="AH30" s="106">
        <f t="shared" si="35"/>
        <v>356952</v>
      </c>
      <c r="AI30" s="106">
        <f t="shared" si="35"/>
        <v>365348.39999999997</v>
      </c>
      <c r="AJ30" s="106">
        <f t="shared" si="35"/>
        <v>357647.39999999997</v>
      </c>
      <c r="AK30" s="106">
        <f t="shared" si="35"/>
        <v>71186.700000000012</v>
      </c>
      <c r="AL30" s="106">
        <f t="shared" si="35"/>
        <v>20368.900000000001</v>
      </c>
      <c r="AM30" s="106">
        <f t="shared" si="35"/>
        <v>22891.4</v>
      </c>
      <c r="AN30" s="106">
        <f t="shared" si="35"/>
        <v>27926.399999999998</v>
      </c>
      <c r="AO30" s="106">
        <f t="shared" si="35"/>
        <v>79302.600000000006</v>
      </c>
      <c r="AP30" s="106">
        <f t="shared" si="35"/>
        <v>25099.3</v>
      </c>
      <c r="AQ30" s="106">
        <f t="shared" si="35"/>
        <v>29177.200000000001</v>
      </c>
      <c r="AR30" s="106">
        <f t="shared" si="35"/>
        <v>25026.1</v>
      </c>
      <c r="AS30" s="106">
        <f t="shared" si="35"/>
        <v>83997.400000000009</v>
      </c>
      <c r="AT30" s="106">
        <f t="shared" si="35"/>
        <v>32765.3</v>
      </c>
      <c r="AU30" s="106">
        <f t="shared" si="35"/>
        <v>24626.2</v>
      </c>
      <c r="AV30" s="106">
        <f t="shared" si="35"/>
        <v>26605.899999999998</v>
      </c>
      <c r="AW30" s="106">
        <f t="shared" si="35"/>
        <v>123160.7</v>
      </c>
      <c r="AX30" s="106">
        <f t="shared" si="35"/>
        <v>34947.300000000003</v>
      </c>
      <c r="AY30" s="106">
        <f t="shared" si="35"/>
        <v>41391.600000000006</v>
      </c>
      <c r="AZ30" s="106">
        <f t="shared" si="35"/>
        <v>46821.8</v>
      </c>
      <c r="BA30" s="106">
        <f t="shared" si="35"/>
        <v>12471.3</v>
      </c>
      <c r="BB30" s="106">
        <f t="shared" si="35"/>
        <v>24060.9</v>
      </c>
      <c r="BC30" s="106">
        <f t="shared" si="35"/>
        <v>25095.200000000001</v>
      </c>
      <c r="BD30" s="106">
        <f t="shared" si="35"/>
        <v>36776.400000000001</v>
      </c>
      <c r="BE30" s="106">
        <f t="shared" si="35"/>
        <v>22914.499999999996</v>
      </c>
      <c r="BF30" s="106">
        <f t="shared" si="35"/>
        <v>29593.599999999995</v>
      </c>
      <c r="BG30" s="106">
        <f t="shared" si="35"/>
        <v>37607.799999999988</v>
      </c>
      <c r="BH30" s="106">
        <f t="shared" si="35"/>
        <v>25757.300000000003</v>
      </c>
      <c r="BI30" s="106">
        <f t="shared" si="35"/>
        <v>29007.000000000004</v>
      </c>
      <c r="BJ30" s="106">
        <f t="shared" si="35"/>
        <v>42025.400000000009</v>
      </c>
      <c r="BK30" s="106">
        <f t="shared" si="35"/>
        <v>31903.299999999992</v>
      </c>
      <c r="BL30" s="106">
        <f t="shared" si="35"/>
        <v>56593.999999999978</v>
      </c>
      <c r="BM30" s="106">
        <f t="shared" si="35"/>
        <v>373806.7</v>
      </c>
      <c r="BN30" s="106">
        <f>BN29+BN14</f>
        <v>9772.1999999999898</v>
      </c>
      <c r="BO30" s="169">
        <f t="shared" si="34"/>
        <v>104.72183935094914</v>
      </c>
      <c r="BP30" s="106">
        <f>BP29+BP14</f>
        <v>16854.700000000026</v>
      </c>
      <c r="BQ30" s="187">
        <f t="shared" si="30"/>
        <v>102.31513262409253</v>
      </c>
      <c r="BR30" s="106">
        <f>BR29+BR14</f>
        <v>8458.3000000000229</v>
      </c>
      <c r="BS30" s="187">
        <f t="shared" si="31"/>
        <v>110.61114075089355</v>
      </c>
      <c r="BT30" s="187">
        <f t="shared" si="5"/>
        <v>35860</v>
      </c>
      <c r="BU30" s="106"/>
      <c r="BV30" s="106">
        <f>BV29+BV14</f>
        <v>364268.6</v>
      </c>
      <c r="BW30" s="106">
        <f>BW29+BW14</f>
        <v>-1079.8000000000311</v>
      </c>
      <c r="CA30" s="189"/>
    </row>
    <row r="31" spans="1:79" s="547" customFormat="1" ht="28.5" customHeight="1" x14ac:dyDescent="0.25">
      <c r="A31" s="8"/>
      <c r="B31" s="22" t="s">
        <v>30</v>
      </c>
      <c r="C31" s="437"/>
      <c r="D31" s="163">
        <f>D33+D36+D75+D113+D128+D127+D125+0.1</f>
        <v>519784.19999999995</v>
      </c>
      <c r="E31" s="163">
        <f>E33+E36+E75+E113+E128+E127+E125+0.1</f>
        <v>675541.20000000007</v>
      </c>
      <c r="F31" s="106">
        <f t="shared" ref="F31:S31" si="36">F33+F36+F75+F113+F125+F127+F128</f>
        <v>36780.200000000004</v>
      </c>
      <c r="G31" s="106">
        <f t="shared" si="36"/>
        <v>58034.299999999996</v>
      </c>
      <c r="H31" s="106">
        <f t="shared" si="36"/>
        <v>277620.50000000006</v>
      </c>
      <c r="I31" s="106">
        <f t="shared" si="36"/>
        <v>67866.899999999994</v>
      </c>
      <c r="J31" s="106">
        <f t="shared" si="36"/>
        <v>56695</v>
      </c>
      <c r="K31" s="106">
        <f t="shared" si="36"/>
        <v>57508.800000000003</v>
      </c>
      <c r="L31" s="106">
        <f t="shared" si="36"/>
        <v>61858.600000000006</v>
      </c>
      <c r="M31" s="106">
        <f t="shared" si="36"/>
        <v>142271.09999999998</v>
      </c>
      <c r="N31" s="106">
        <f t="shared" si="36"/>
        <v>101536.59999999998</v>
      </c>
      <c r="O31" s="106">
        <f t="shared" si="36"/>
        <v>98066.400000000009</v>
      </c>
      <c r="P31" s="106">
        <f t="shared" si="36"/>
        <v>107277.59999999998</v>
      </c>
      <c r="Q31" s="106">
        <f t="shared" si="36"/>
        <v>138829.1</v>
      </c>
      <c r="R31" s="106">
        <f t="shared" si="36"/>
        <v>1204345.2</v>
      </c>
      <c r="S31" s="106">
        <f t="shared" si="36"/>
        <v>989458.60000000009</v>
      </c>
      <c r="T31" s="106">
        <f t="shared" ref="T31:AG31" si="37">T33+T36+T75+T113+T125+T127+T128+T126</f>
        <v>829827.77000000014</v>
      </c>
      <c r="U31" s="106">
        <f t="shared" si="37"/>
        <v>45253.700000000004</v>
      </c>
      <c r="V31" s="106">
        <f t="shared" si="37"/>
        <v>46174.299999999996</v>
      </c>
      <c r="W31" s="106">
        <f t="shared" si="37"/>
        <v>71939.199999999997</v>
      </c>
      <c r="X31" s="106">
        <f t="shared" si="37"/>
        <v>169779.99999999997</v>
      </c>
      <c r="Y31" s="106">
        <f t="shared" si="37"/>
        <v>15362.2</v>
      </c>
      <c r="Z31" s="106">
        <f t="shared" si="37"/>
        <v>76267.400000000009</v>
      </c>
      <c r="AA31" s="106">
        <f t="shared" si="37"/>
        <v>59245.899999999994</v>
      </c>
      <c r="AB31" s="106">
        <f t="shared" si="37"/>
        <v>75839.3</v>
      </c>
      <c r="AC31" s="106">
        <f t="shared" si="37"/>
        <v>89457.8</v>
      </c>
      <c r="AD31" s="106">
        <f t="shared" si="37"/>
        <v>106071.26999999999</v>
      </c>
      <c r="AE31" s="106">
        <f t="shared" si="37"/>
        <v>74436.7</v>
      </c>
      <c r="AF31" s="106">
        <f t="shared" si="37"/>
        <v>124491.4</v>
      </c>
      <c r="AG31" s="106">
        <f t="shared" si="37"/>
        <v>954227.59999999986</v>
      </c>
      <c r="AH31" s="106">
        <f>AH33+AH36+AH75+AH113+AH125+AH127+AH128+AH126</f>
        <v>763388.60000000009</v>
      </c>
      <c r="AI31" s="106">
        <f t="shared" ref="AI31:BR31" si="38">AI33+AI36+AI75+AI113+AI125+AI127+AI128+AI126</f>
        <v>903009.00000000012</v>
      </c>
      <c r="AJ31" s="106">
        <f t="shared" si="38"/>
        <v>673078.60000000009</v>
      </c>
      <c r="AK31" s="106">
        <f t="shared" si="38"/>
        <v>116750.99999999999</v>
      </c>
      <c r="AL31" s="106">
        <f t="shared" si="38"/>
        <v>0</v>
      </c>
      <c r="AM31" s="106">
        <f t="shared" si="38"/>
        <v>58842.100000000006</v>
      </c>
      <c r="AN31" s="106">
        <f t="shared" si="38"/>
        <v>58045.599999999999</v>
      </c>
      <c r="AO31" s="106">
        <f t="shared" si="38"/>
        <v>228509.59999999995</v>
      </c>
      <c r="AP31" s="106">
        <f t="shared" si="38"/>
        <v>118377.5</v>
      </c>
      <c r="AQ31" s="106">
        <f t="shared" si="38"/>
        <v>35621.4</v>
      </c>
      <c r="AR31" s="106">
        <f t="shared" si="38"/>
        <v>79297.5</v>
      </c>
      <c r="AS31" s="106">
        <f t="shared" si="38"/>
        <v>106377.8</v>
      </c>
      <c r="AT31" s="106">
        <f t="shared" si="38"/>
        <v>34277.199999999997</v>
      </c>
      <c r="AU31" s="106">
        <f t="shared" si="38"/>
        <v>71983.899999999994</v>
      </c>
      <c r="AV31" s="106">
        <f t="shared" si="38"/>
        <v>135</v>
      </c>
      <c r="AW31" s="106">
        <f t="shared" si="38"/>
        <v>221440.2</v>
      </c>
      <c r="AX31" s="106">
        <f t="shared" si="38"/>
        <v>103199.2</v>
      </c>
      <c r="AY31" s="106">
        <f t="shared" si="38"/>
        <v>42652.7</v>
      </c>
      <c r="AZ31" s="106">
        <f t="shared" si="38"/>
        <v>76403.700000000012</v>
      </c>
      <c r="BA31" s="106">
        <f t="shared" si="38"/>
        <v>57313.2</v>
      </c>
      <c r="BB31" s="106">
        <f t="shared" si="38"/>
        <v>58842.100000000006</v>
      </c>
      <c r="BC31" s="106">
        <f t="shared" si="38"/>
        <v>58045.599999999999</v>
      </c>
      <c r="BD31" s="106">
        <f t="shared" si="38"/>
        <v>118377.5</v>
      </c>
      <c r="BE31" s="106">
        <f t="shared" si="38"/>
        <v>35621.4</v>
      </c>
      <c r="BF31" s="106">
        <f t="shared" si="38"/>
        <v>79297.5</v>
      </c>
      <c r="BG31" s="106">
        <f t="shared" si="38"/>
        <v>51284.3</v>
      </c>
      <c r="BH31" s="106">
        <f t="shared" si="38"/>
        <v>72293.899999999994</v>
      </c>
      <c r="BI31" s="106">
        <f t="shared" si="38"/>
        <v>77677.2</v>
      </c>
      <c r="BJ31" s="106">
        <f t="shared" si="38"/>
        <v>103199.2</v>
      </c>
      <c r="BK31" s="106">
        <f t="shared" si="38"/>
        <v>42652.7</v>
      </c>
      <c r="BL31" s="106">
        <f t="shared" si="38"/>
        <v>102454.29999999999</v>
      </c>
      <c r="BM31" s="106">
        <f t="shared" si="38"/>
        <v>857058.80000000016</v>
      </c>
      <c r="BN31" s="106">
        <f t="shared" si="38"/>
        <v>0</v>
      </c>
      <c r="BO31" s="169">
        <f t="shared" si="34"/>
        <v>112.27031684780202</v>
      </c>
      <c r="BP31" s="106">
        <f t="shared" si="38"/>
        <v>93670.199999999924</v>
      </c>
      <c r="BQ31" s="187">
        <f t="shared" si="30"/>
        <v>94.91143499123487</v>
      </c>
      <c r="BR31" s="106">
        <f t="shared" si="38"/>
        <v>-45950.200000000004</v>
      </c>
      <c r="BS31" s="187">
        <f t="shared" si="31"/>
        <v>89.817020593409822</v>
      </c>
      <c r="BT31" s="187">
        <f t="shared" si="5"/>
        <v>-97168.799999999697</v>
      </c>
      <c r="BU31" s="72"/>
    </row>
    <row r="32" spans="1:79" s="547" customFormat="1" ht="29.25" customHeight="1" x14ac:dyDescent="0.25">
      <c r="A32" s="8"/>
      <c r="B32" s="242" t="s">
        <v>291</v>
      </c>
      <c r="C32" s="25"/>
      <c r="D32" s="174">
        <f>D33+D36+D75+D113</f>
        <v>520187</v>
      </c>
      <c r="E32" s="174">
        <f>E33+E36+E75+E113+0.1</f>
        <v>682661.60000000009</v>
      </c>
      <c r="F32" s="174">
        <f t="shared" ref="F32:BN32" si="39">F33+F36+F75+F113</f>
        <v>38355.200000000004</v>
      </c>
      <c r="G32" s="174">
        <f t="shared" si="39"/>
        <v>56999.399999999994</v>
      </c>
      <c r="H32" s="174">
        <f t="shared" si="39"/>
        <v>277527.60000000003</v>
      </c>
      <c r="I32" s="174">
        <f t="shared" si="39"/>
        <v>67878.7</v>
      </c>
      <c r="J32" s="174">
        <f t="shared" si="39"/>
        <v>57696.6</v>
      </c>
      <c r="K32" s="174">
        <f t="shared" si="39"/>
        <v>57508.800000000003</v>
      </c>
      <c r="L32" s="174">
        <f t="shared" si="39"/>
        <v>61858.600000000006</v>
      </c>
      <c r="M32" s="174">
        <f t="shared" si="39"/>
        <v>142271.09999999998</v>
      </c>
      <c r="N32" s="174">
        <f t="shared" si="39"/>
        <v>101536.59999999998</v>
      </c>
      <c r="O32" s="174">
        <f t="shared" si="39"/>
        <v>98066.400000000009</v>
      </c>
      <c r="P32" s="174">
        <f t="shared" si="39"/>
        <v>107277.59999999998</v>
      </c>
      <c r="Q32" s="174">
        <f t="shared" si="39"/>
        <v>138829.1</v>
      </c>
      <c r="R32" s="174">
        <f t="shared" si="39"/>
        <v>1205805.8</v>
      </c>
      <c r="S32" s="174">
        <f t="shared" si="39"/>
        <v>991176.3</v>
      </c>
      <c r="T32" s="324">
        <f t="shared" si="13"/>
        <v>831545.37</v>
      </c>
      <c r="U32" s="174">
        <f t="shared" si="39"/>
        <v>47145.3</v>
      </c>
      <c r="V32" s="174">
        <f t="shared" si="39"/>
        <v>45151.099999999991</v>
      </c>
      <c r="W32" s="174">
        <f t="shared" si="39"/>
        <v>72788.399999999994</v>
      </c>
      <c r="X32" s="174">
        <f t="shared" si="39"/>
        <v>169779.99999999997</v>
      </c>
      <c r="Y32" s="174">
        <f t="shared" si="39"/>
        <v>15362.2</v>
      </c>
      <c r="Z32" s="174">
        <f t="shared" si="39"/>
        <v>76267.400000000009</v>
      </c>
      <c r="AA32" s="174">
        <f t="shared" si="39"/>
        <v>59245.899999999994</v>
      </c>
      <c r="AB32" s="174">
        <f t="shared" si="39"/>
        <v>75839.3</v>
      </c>
      <c r="AC32" s="174">
        <f t="shared" si="39"/>
        <v>89457.8</v>
      </c>
      <c r="AD32" s="174">
        <f t="shared" si="39"/>
        <v>106071.26999999999</v>
      </c>
      <c r="AE32" s="174">
        <f t="shared" si="39"/>
        <v>74436.7</v>
      </c>
      <c r="AF32" s="174">
        <f t="shared" si="39"/>
        <v>124491.4</v>
      </c>
      <c r="AG32" s="236">
        <f t="shared" si="39"/>
        <v>955945.29999999981</v>
      </c>
      <c r="AH32" s="174">
        <f t="shared" si="39"/>
        <v>763388.60000000009</v>
      </c>
      <c r="AI32" s="174">
        <f t="shared" si="39"/>
        <v>902870.10000000009</v>
      </c>
      <c r="AJ32" s="174">
        <f t="shared" si="39"/>
        <v>667373.6</v>
      </c>
      <c r="AK32" s="174">
        <f t="shared" si="39"/>
        <v>110914.79999999999</v>
      </c>
      <c r="AL32" s="174">
        <f t="shared" si="39"/>
        <v>0</v>
      </c>
      <c r="AM32" s="174">
        <f t="shared" si="39"/>
        <v>53005.9</v>
      </c>
      <c r="AN32" s="174">
        <f t="shared" si="39"/>
        <v>58045.599999999999</v>
      </c>
      <c r="AO32" s="174">
        <f t="shared" si="39"/>
        <v>228509.59999999995</v>
      </c>
      <c r="AP32" s="174">
        <f t="shared" si="39"/>
        <v>118377.5</v>
      </c>
      <c r="AQ32" s="174">
        <f t="shared" si="39"/>
        <v>35621.4</v>
      </c>
      <c r="AR32" s="174">
        <f t="shared" si="39"/>
        <v>79297.5</v>
      </c>
      <c r="AS32" s="174">
        <f t="shared" si="39"/>
        <v>106377.8</v>
      </c>
      <c r="AT32" s="174">
        <f t="shared" si="39"/>
        <v>34277.199999999997</v>
      </c>
      <c r="AU32" s="174">
        <f t="shared" si="39"/>
        <v>71983.899999999994</v>
      </c>
      <c r="AV32" s="174">
        <f t="shared" si="39"/>
        <v>135</v>
      </c>
      <c r="AW32" s="174">
        <f t="shared" si="39"/>
        <v>221571.40000000002</v>
      </c>
      <c r="AX32" s="174">
        <f t="shared" si="39"/>
        <v>103199.2</v>
      </c>
      <c r="AY32" s="174">
        <f t="shared" si="39"/>
        <v>42652.7</v>
      </c>
      <c r="AZ32" s="174">
        <f t="shared" si="39"/>
        <v>76403.700000000012</v>
      </c>
      <c r="BA32" s="174">
        <f t="shared" si="39"/>
        <v>63010.5</v>
      </c>
      <c r="BB32" s="174">
        <f t="shared" si="39"/>
        <v>53005.9</v>
      </c>
      <c r="BC32" s="174">
        <f t="shared" si="39"/>
        <v>58045.599999999999</v>
      </c>
      <c r="BD32" s="174">
        <f t="shared" si="39"/>
        <v>118377.5</v>
      </c>
      <c r="BE32" s="174">
        <f t="shared" si="39"/>
        <v>35621.4</v>
      </c>
      <c r="BF32" s="174">
        <f t="shared" si="39"/>
        <v>79297.5</v>
      </c>
      <c r="BG32" s="174">
        <f>BG33+BG36+BG75+BG113</f>
        <v>51284.3</v>
      </c>
      <c r="BH32" s="174">
        <f t="shared" si="39"/>
        <v>72293.899999999994</v>
      </c>
      <c r="BI32" s="174">
        <f t="shared" si="39"/>
        <v>77677.2</v>
      </c>
      <c r="BJ32" s="174">
        <f t="shared" si="39"/>
        <v>103199.2</v>
      </c>
      <c r="BK32" s="174">
        <f t="shared" si="39"/>
        <v>42652.7</v>
      </c>
      <c r="BL32" s="174">
        <f t="shared" si="39"/>
        <v>102454.29999999999</v>
      </c>
      <c r="BM32" s="174">
        <f>BM33+BM36+BM75+BM113</f>
        <v>856919.90000000014</v>
      </c>
      <c r="BN32" s="174">
        <f t="shared" si="39"/>
        <v>0</v>
      </c>
      <c r="BO32" s="170">
        <f t="shared" si="34"/>
        <v>112.25212165861529</v>
      </c>
      <c r="BP32" s="174">
        <f>BP33+BP36+BP75+BP113</f>
        <v>93531.29999999993</v>
      </c>
      <c r="BQ32" s="347">
        <f t="shared" si="30"/>
        <v>94.910652152507879</v>
      </c>
      <c r="BR32" s="174">
        <f t="shared" ref="BR32" si="40">BR33+BR36+BR75+BR113</f>
        <v>-45950.200000000004</v>
      </c>
      <c r="BS32" s="186">
        <f t="shared" si="31"/>
        <v>89.641101849656081</v>
      </c>
      <c r="BT32" s="186">
        <f t="shared" si="5"/>
        <v>-99025.399999999674</v>
      </c>
      <c r="BU32" s="554"/>
      <c r="BV32" s="72"/>
      <c r="BW32" s="72"/>
    </row>
    <row r="33" spans="1:76" s="547" customFormat="1" ht="18.75" customHeight="1" x14ac:dyDescent="0.25">
      <c r="A33" s="8"/>
      <c r="B33" s="175" t="s">
        <v>111</v>
      </c>
      <c r="C33" s="23"/>
      <c r="D33" s="169">
        <f>D34+D35+720</f>
        <v>182425.7</v>
      </c>
      <c r="E33" s="169">
        <f>E34+E35</f>
        <v>196252.5</v>
      </c>
      <c r="F33" s="106">
        <f>F34+F35</f>
        <v>17437.599999999999</v>
      </c>
      <c r="G33" s="106">
        <f t="shared" ref="G33:BN33" si="41">G34+G35</f>
        <v>34875.4</v>
      </c>
      <c r="H33" s="106">
        <f t="shared" si="41"/>
        <v>0</v>
      </c>
      <c r="I33" s="106">
        <f t="shared" si="41"/>
        <v>34875.199999999997</v>
      </c>
      <c r="J33" s="106">
        <f t="shared" si="41"/>
        <v>17437.7</v>
      </c>
      <c r="K33" s="106">
        <f t="shared" si="41"/>
        <v>0</v>
      </c>
      <c r="L33" s="106">
        <f t="shared" si="41"/>
        <v>17437.599999999999</v>
      </c>
      <c r="M33" s="106">
        <f t="shared" si="41"/>
        <v>41975.399999999994</v>
      </c>
      <c r="N33" s="106">
        <f t="shared" si="41"/>
        <v>0</v>
      </c>
      <c r="O33" s="106">
        <f t="shared" si="41"/>
        <v>18226.5</v>
      </c>
      <c r="P33" s="106">
        <f t="shared" si="41"/>
        <v>36453.1</v>
      </c>
      <c r="Q33" s="106">
        <f t="shared" si="41"/>
        <v>0</v>
      </c>
      <c r="R33" s="106">
        <f t="shared" si="41"/>
        <v>218718.5</v>
      </c>
      <c r="S33" s="106">
        <f t="shared" si="41"/>
        <v>272724.8</v>
      </c>
      <c r="T33" s="106">
        <f t="shared" si="41"/>
        <v>247702.39999999999</v>
      </c>
      <c r="U33" s="106">
        <f t="shared" si="41"/>
        <v>21962</v>
      </c>
      <c r="V33" s="106">
        <f t="shared" si="41"/>
        <v>21962</v>
      </c>
      <c r="W33" s="106">
        <f t="shared" si="41"/>
        <v>21961.9</v>
      </c>
      <c r="X33" s="106">
        <f t="shared" si="41"/>
        <v>43924</v>
      </c>
      <c r="Y33" s="106">
        <f t="shared" si="41"/>
        <v>0</v>
      </c>
      <c r="Z33" s="106">
        <f t="shared" si="41"/>
        <v>21962</v>
      </c>
      <c r="AA33" s="106">
        <f t="shared" si="41"/>
        <v>21962</v>
      </c>
      <c r="AB33" s="106">
        <f t="shared" si="41"/>
        <v>21962</v>
      </c>
      <c r="AC33" s="106">
        <f t="shared" si="41"/>
        <v>21961.9</v>
      </c>
      <c r="AD33" s="106">
        <f t="shared" si="41"/>
        <v>25022.3</v>
      </c>
      <c r="AE33" s="106">
        <f t="shared" si="41"/>
        <v>25022.3</v>
      </c>
      <c r="AF33" s="106">
        <f t="shared" si="41"/>
        <v>25022.399999999998</v>
      </c>
      <c r="AG33" s="106">
        <f t="shared" si="41"/>
        <v>272724.8</v>
      </c>
      <c r="AH33" s="106">
        <f t="shared" si="41"/>
        <v>310018.5</v>
      </c>
      <c r="AI33" s="106">
        <f t="shared" si="41"/>
        <v>310018.5</v>
      </c>
      <c r="AJ33" s="106">
        <f t="shared" si="41"/>
        <v>233805.5</v>
      </c>
      <c r="AK33" s="106">
        <f t="shared" si="41"/>
        <v>49086.2</v>
      </c>
      <c r="AL33" s="106">
        <f t="shared" si="41"/>
        <v>0</v>
      </c>
      <c r="AM33" s="106">
        <f t="shared" si="41"/>
        <v>24543.200000000001</v>
      </c>
      <c r="AN33" s="106">
        <f t="shared" si="41"/>
        <v>24543</v>
      </c>
      <c r="AO33" s="106">
        <f t="shared" si="41"/>
        <v>73629.399999999994</v>
      </c>
      <c r="AP33" s="106">
        <f t="shared" si="41"/>
        <v>49086.400000000001</v>
      </c>
      <c r="AQ33" s="106">
        <f t="shared" si="41"/>
        <v>0</v>
      </c>
      <c r="AR33" s="106">
        <f t="shared" si="41"/>
        <v>24543</v>
      </c>
      <c r="AS33" s="106">
        <f t="shared" si="41"/>
        <v>41335.800000000003</v>
      </c>
      <c r="AT33" s="106">
        <f t="shared" si="41"/>
        <v>20667.900000000001</v>
      </c>
      <c r="AU33" s="106">
        <f t="shared" si="41"/>
        <v>20667.900000000001</v>
      </c>
      <c r="AV33" s="106">
        <f t="shared" si="41"/>
        <v>0</v>
      </c>
      <c r="AW33" s="106">
        <f t="shared" si="41"/>
        <v>69754.100000000006</v>
      </c>
      <c r="AX33" s="106">
        <f t="shared" si="41"/>
        <v>23251.4</v>
      </c>
      <c r="AY33" s="106">
        <f t="shared" si="41"/>
        <v>23251.4</v>
      </c>
      <c r="AZ33" s="106">
        <f t="shared" si="41"/>
        <v>23251.3</v>
      </c>
      <c r="BA33" s="106">
        <f t="shared" si="41"/>
        <v>24543.200000000001</v>
      </c>
      <c r="BB33" s="106">
        <f t="shared" si="41"/>
        <v>24543.200000000001</v>
      </c>
      <c r="BC33" s="106">
        <f t="shared" si="41"/>
        <v>24543</v>
      </c>
      <c r="BD33" s="106">
        <f t="shared" si="41"/>
        <v>49086.400000000001</v>
      </c>
      <c r="BE33" s="106">
        <f t="shared" si="41"/>
        <v>0</v>
      </c>
      <c r="BF33" s="106">
        <f t="shared" si="41"/>
        <v>24543</v>
      </c>
      <c r="BG33" s="106">
        <f t="shared" si="41"/>
        <v>20667.900000000001</v>
      </c>
      <c r="BH33" s="106">
        <f t="shared" si="41"/>
        <v>20667.900000000001</v>
      </c>
      <c r="BI33" s="106">
        <f t="shared" si="41"/>
        <v>20667.900000000001</v>
      </c>
      <c r="BJ33" s="106">
        <f t="shared" si="41"/>
        <v>23251.4</v>
      </c>
      <c r="BK33" s="106">
        <f t="shared" si="41"/>
        <v>23251.4</v>
      </c>
      <c r="BL33" s="106">
        <f t="shared" si="41"/>
        <v>23251.3</v>
      </c>
      <c r="BM33" s="106">
        <f t="shared" si="41"/>
        <v>279016.59999999998</v>
      </c>
      <c r="BN33" s="106">
        <f t="shared" si="41"/>
        <v>0</v>
      </c>
      <c r="BO33" s="169">
        <f t="shared" si="34"/>
        <v>89.999983871930212</v>
      </c>
      <c r="BP33" s="106">
        <f>BM33-AH33</f>
        <v>-31001.900000000023</v>
      </c>
      <c r="BQ33" s="187">
        <f t="shared" si="30"/>
        <v>89.999983871930212</v>
      </c>
      <c r="BR33" s="187">
        <f>BM33-AI33</f>
        <v>-31001.900000000023</v>
      </c>
      <c r="BS33" s="187">
        <f t="shared" si="31"/>
        <v>102.30701425026254</v>
      </c>
      <c r="BT33" s="187">
        <f t="shared" si="5"/>
        <v>6291.7999999999884</v>
      </c>
      <c r="BU33" s="554"/>
      <c r="BV33" s="72"/>
      <c r="BW33" s="72"/>
    </row>
    <row r="34" spans="1:76" s="547" customFormat="1" ht="30" outlineLevel="7" x14ac:dyDescent="0.25">
      <c r="A34" s="8" t="s">
        <v>31</v>
      </c>
      <c r="B34" s="9" t="s">
        <v>113</v>
      </c>
      <c r="C34" s="10"/>
      <c r="D34" s="170">
        <v>152615.1</v>
      </c>
      <c r="E34" s="170">
        <v>169069.9</v>
      </c>
      <c r="F34" s="176">
        <v>14988.8</v>
      </c>
      <c r="G34" s="176">
        <v>29977.7</v>
      </c>
      <c r="H34" s="176"/>
      <c r="I34" s="176">
        <v>29977.599999999999</v>
      </c>
      <c r="J34" s="176">
        <v>14989</v>
      </c>
      <c r="K34" s="176"/>
      <c r="L34" s="176">
        <v>14988.8</v>
      </c>
      <c r="M34" s="176">
        <v>37077.699999999997</v>
      </c>
      <c r="N34" s="176"/>
      <c r="O34" s="176">
        <v>15777.7</v>
      </c>
      <c r="P34" s="176">
        <v>31555.5</v>
      </c>
      <c r="Q34" s="176"/>
      <c r="R34" s="176">
        <f>F34+G34+H34+I34+J34+K34+L34+M34+N34+O34+P34+Q34</f>
        <v>189332.80000000002</v>
      </c>
      <c r="S34" s="324">
        <v>183621.3</v>
      </c>
      <c r="T34" s="324">
        <f t="shared" si="13"/>
        <v>166024.19999999998</v>
      </c>
      <c r="U34" s="176">
        <v>14536.7</v>
      </c>
      <c r="V34" s="176">
        <v>14536.7</v>
      </c>
      <c r="W34" s="176">
        <v>14536.6</v>
      </c>
      <c r="X34" s="176">
        <v>29073.4</v>
      </c>
      <c r="Y34" s="176"/>
      <c r="Z34" s="176">
        <v>14536.7</v>
      </c>
      <c r="AA34" s="176">
        <v>14536.7</v>
      </c>
      <c r="AB34" s="176">
        <v>14536.7</v>
      </c>
      <c r="AC34" s="176">
        <v>14536.7</v>
      </c>
      <c r="AD34" s="176">
        <v>17597</v>
      </c>
      <c r="AE34" s="176">
        <v>17597</v>
      </c>
      <c r="AF34" s="176">
        <v>17597.099999999999</v>
      </c>
      <c r="AG34" s="346">
        <f>U34+V34+W34+X34+Y34+Z34+AA34+AB34+AC34+AF34+AE34+AD34</f>
        <v>183621.3</v>
      </c>
      <c r="AH34" s="335">
        <v>261984.8</v>
      </c>
      <c r="AI34" s="335">
        <v>261984.8</v>
      </c>
      <c r="AJ34" s="337">
        <f>AK34+AO34+AS34+AW34</f>
        <v>197580.30000000002</v>
      </c>
      <c r="AK34" s="319">
        <f t="shared" ref="AK34:AK35" si="42">AL34+AM34+AN34</f>
        <v>41480.9</v>
      </c>
      <c r="AL34" s="324"/>
      <c r="AM34" s="324">
        <f>BB34</f>
        <v>20740.5</v>
      </c>
      <c r="AN34" s="324">
        <f>BC34</f>
        <v>20740.400000000001</v>
      </c>
      <c r="AO34" s="318">
        <f>AP34+AQ34+AR34</f>
        <v>62221.4</v>
      </c>
      <c r="AP34" s="324">
        <f>BD34</f>
        <v>41481</v>
      </c>
      <c r="AQ34" s="324"/>
      <c r="AR34" s="176">
        <f>BF34</f>
        <v>20740.400000000001</v>
      </c>
      <c r="AS34" s="174">
        <f>AT34+AU34+AV34</f>
        <v>34931.4</v>
      </c>
      <c r="AT34" s="176">
        <f>BG34</f>
        <v>17465.7</v>
      </c>
      <c r="AU34" s="176">
        <f>BH34</f>
        <v>17465.7</v>
      </c>
      <c r="AV34" s="176"/>
      <c r="AW34" s="345">
        <f>AX34+AY34+AZ34</f>
        <v>58946.600000000006</v>
      </c>
      <c r="AX34" s="176">
        <f t="shared" ref="AX34:AZ35" si="43">BJ34</f>
        <v>19648.900000000001</v>
      </c>
      <c r="AY34" s="176">
        <f t="shared" si="43"/>
        <v>19648.900000000001</v>
      </c>
      <c r="AZ34" s="176">
        <f t="shared" si="43"/>
        <v>19648.8</v>
      </c>
      <c r="BA34" s="176">
        <v>20740.5</v>
      </c>
      <c r="BB34" s="176">
        <v>20740.5</v>
      </c>
      <c r="BC34" s="176">
        <v>20740.400000000001</v>
      </c>
      <c r="BD34" s="176">
        <f>20740.5*2</f>
        <v>41481</v>
      </c>
      <c r="BE34" s="176"/>
      <c r="BF34" s="176">
        <v>20740.400000000001</v>
      </c>
      <c r="BG34" s="176">
        <v>17465.7</v>
      </c>
      <c r="BH34" s="176">
        <v>17465.7</v>
      </c>
      <c r="BI34" s="176">
        <v>17465.5</v>
      </c>
      <c r="BJ34" s="176">
        <v>19648.900000000001</v>
      </c>
      <c r="BK34" s="176">
        <v>19648.900000000001</v>
      </c>
      <c r="BL34" s="176">
        <v>19648.8</v>
      </c>
      <c r="BM34" s="346">
        <f t="shared" ref="BM34:BM71" si="44">SUM(BA34:BL34)</f>
        <v>235786.3</v>
      </c>
      <c r="BN34" s="337"/>
      <c r="BO34" s="170">
        <f t="shared" si="34"/>
        <v>89.999992365969334</v>
      </c>
      <c r="BP34" s="102">
        <f>BM34-AH34</f>
        <v>-26198.5</v>
      </c>
      <c r="BQ34" s="186">
        <f t="shared" si="30"/>
        <v>89.999992365969334</v>
      </c>
      <c r="BR34" s="186">
        <f>BM34-AI34</f>
        <v>-26198.5</v>
      </c>
      <c r="BS34" s="186">
        <f t="shared" si="31"/>
        <v>128.40901355126013</v>
      </c>
      <c r="BT34" s="186">
        <f t="shared" si="5"/>
        <v>52165</v>
      </c>
      <c r="BU34" s="554"/>
      <c r="BV34" s="72"/>
      <c r="BX34" s="72"/>
    </row>
    <row r="35" spans="1:76" s="547" customFormat="1" ht="45" outlineLevel="7" x14ac:dyDescent="0.25">
      <c r="A35" s="8" t="s">
        <v>32</v>
      </c>
      <c r="B35" s="9" t="s">
        <v>114</v>
      </c>
      <c r="C35" s="10"/>
      <c r="D35" s="170">
        <v>29090.6</v>
      </c>
      <c r="E35" s="170">
        <v>27182.6</v>
      </c>
      <c r="F35" s="176">
        <v>2448.8000000000002</v>
      </c>
      <c r="G35" s="176">
        <v>4897.7</v>
      </c>
      <c r="H35" s="176"/>
      <c r="I35" s="176">
        <v>4897.6000000000004</v>
      </c>
      <c r="J35" s="176">
        <v>2448.6999999999998</v>
      </c>
      <c r="K35" s="176"/>
      <c r="L35" s="176">
        <v>2448.8000000000002</v>
      </c>
      <c r="M35" s="176">
        <v>4897.7</v>
      </c>
      <c r="N35" s="176"/>
      <c r="O35" s="176">
        <v>2448.8000000000002</v>
      </c>
      <c r="P35" s="176">
        <v>4897.6000000000004</v>
      </c>
      <c r="Q35" s="176"/>
      <c r="R35" s="176">
        <f>F35+G35+H35+I35+J35+K35+L35+M35+N35+O35+P35+Q35</f>
        <v>29385.699999999997</v>
      </c>
      <c r="S35" s="324">
        <v>89103.5</v>
      </c>
      <c r="T35" s="324">
        <f t="shared" si="13"/>
        <v>81678.200000000012</v>
      </c>
      <c r="U35" s="176">
        <v>7425.3</v>
      </c>
      <c r="V35" s="176">
        <v>7425.3</v>
      </c>
      <c r="W35" s="176">
        <v>7425.3</v>
      </c>
      <c r="X35" s="176">
        <v>14850.6</v>
      </c>
      <c r="Y35" s="176"/>
      <c r="Z35" s="176">
        <v>7425.3</v>
      </c>
      <c r="AA35" s="176">
        <v>7425.3</v>
      </c>
      <c r="AB35" s="176">
        <v>7425.3</v>
      </c>
      <c r="AC35" s="176">
        <v>7425.2</v>
      </c>
      <c r="AD35" s="176">
        <v>7425.3</v>
      </c>
      <c r="AE35" s="176">
        <v>7425.3</v>
      </c>
      <c r="AF35" s="176">
        <v>7425.3</v>
      </c>
      <c r="AG35" s="346">
        <f>U35+V35+W35+X35+Y35+Z35+AA35+AB35+AC35+AF35+AE35+AD35</f>
        <v>89103.500000000015</v>
      </c>
      <c r="AH35" s="335">
        <v>48033.7</v>
      </c>
      <c r="AI35" s="335">
        <v>48033.7</v>
      </c>
      <c r="AJ35" s="337">
        <f>AK35+AO35+AS35+AW35</f>
        <v>36225.199999999997</v>
      </c>
      <c r="AK35" s="319">
        <f t="shared" si="42"/>
        <v>7605.2999999999993</v>
      </c>
      <c r="AL35" s="324"/>
      <c r="AM35" s="324">
        <f>BB35</f>
        <v>3802.7</v>
      </c>
      <c r="AN35" s="324">
        <f>BC35</f>
        <v>3802.6</v>
      </c>
      <c r="AO35" s="318">
        <f>AP35+AQ35+AR35</f>
        <v>11408</v>
      </c>
      <c r="AP35" s="324">
        <f>BD35</f>
        <v>7605.4</v>
      </c>
      <c r="AQ35" s="324"/>
      <c r="AR35" s="176">
        <f>BF35</f>
        <v>3802.6</v>
      </c>
      <c r="AS35" s="174">
        <f>AT35+AU35+AV35</f>
        <v>6404.4</v>
      </c>
      <c r="AT35" s="176">
        <f>BG35</f>
        <v>3202.2</v>
      </c>
      <c r="AU35" s="176">
        <f>BH35</f>
        <v>3202.2</v>
      </c>
      <c r="AV35" s="176"/>
      <c r="AW35" s="345">
        <f>AX35+AY35+AZ35</f>
        <v>10807.5</v>
      </c>
      <c r="AX35" s="176">
        <f t="shared" si="43"/>
        <v>3602.5</v>
      </c>
      <c r="AY35" s="176">
        <f t="shared" si="43"/>
        <v>3602.5</v>
      </c>
      <c r="AZ35" s="176">
        <f t="shared" si="43"/>
        <v>3602.5</v>
      </c>
      <c r="BA35" s="176">
        <v>3802.7</v>
      </c>
      <c r="BB35" s="176">
        <v>3802.7</v>
      </c>
      <c r="BC35" s="176">
        <v>3802.6</v>
      </c>
      <c r="BD35" s="176">
        <f>3802.7+3802.7</f>
        <v>7605.4</v>
      </c>
      <c r="BE35" s="176"/>
      <c r="BF35" s="176">
        <v>3802.6</v>
      </c>
      <c r="BG35" s="176">
        <v>3202.2</v>
      </c>
      <c r="BH35" s="176">
        <v>3202.2</v>
      </c>
      <c r="BI35" s="176">
        <v>3202.4</v>
      </c>
      <c r="BJ35" s="176">
        <v>3602.5</v>
      </c>
      <c r="BK35" s="176">
        <v>3602.5</v>
      </c>
      <c r="BL35" s="176">
        <v>3602.5</v>
      </c>
      <c r="BM35" s="346">
        <f t="shared" si="44"/>
        <v>43230.3</v>
      </c>
      <c r="BN35" s="337"/>
      <c r="BO35" s="170">
        <f t="shared" si="34"/>
        <v>89.999937543849427</v>
      </c>
      <c r="BP35" s="102">
        <f>BM35-AH35</f>
        <v>-4803.3999999999942</v>
      </c>
      <c r="BQ35" s="186">
        <f t="shared" si="30"/>
        <v>89.999937543849427</v>
      </c>
      <c r="BR35" s="186">
        <f>BM35-AI35</f>
        <v>-4803.3999999999942</v>
      </c>
      <c r="BS35" s="186">
        <f t="shared" si="31"/>
        <v>48.516949390315752</v>
      </c>
      <c r="BT35" s="186">
        <f t="shared" si="5"/>
        <v>-45873.200000000012</v>
      </c>
      <c r="BU35" s="554"/>
    </row>
    <row r="36" spans="1:76" s="547" customFormat="1" ht="23.25" outlineLevel="2" x14ac:dyDescent="0.25">
      <c r="A36" s="8" t="s">
        <v>33</v>
      </c>
      <c r="B36" s="175" t="s">
        <v>112</v>
      </c>
      <c r="C36" s="23"/>
      <c r="D36" s="169">
        <v>105616.8</v>
      </c>
      <c r="E36" s="169">
        <v>181867.9</v>
      </c>
      <c r="F36" s="106">
        <f t="shared" ref="F36:R36" si="45">SUM(F37:F74)</f>
        <v>117.4</v>
      </c>
      <c r="G36" s="106">
        <f t="shared" si="45"/>
        <v>2250.1999999999998</v>
      </c>
      <c r="H36" s="106">
        <f t="shared" si="45"/>
        <v>242141.90000000002</v>
      </c>
      <c r="I36" s="106">
        <f t="shared" si="45"/>
        <v>2436.5000000000005</v>
      </c>
      <c r="J36" s="106">
        <f t="shared" si="45"/>
        <v>8226.5</v>
      </c>
      <c r="K36" s="106">
        <f t="shared" si="45"/>
        <v>25092.899999999998</v>
      </c>
      <c r="L36" s="106">
        <f t="shared" si="45"/>
        <v>26976</v>
      </c>
      <c r="M36" s="106">
        <f t="shared" si="45"/>
        <v>76504.199999999983</v>
      </c>
      <c r="N36" s="106">
        <f t="shared" si="45"/>
        <v>79157.299999999988</v>
      </c>
      <c r="O36" s="106">
        <f t="shared" si="45"/>
        <v>36745.100000000006</v>
      </c>
      <c r="P36" s="106">
        <f t="shared" si="45"/>
        <v>42853.099999999991</v>
      </c>
      <c r="Q36" s="106">
        <f t="shared" si="45"/>
        <v>115885.29999999999</v>
      </c>
      <c r="R36" s="106">
        <f t="shared" si="45"/>
        <v>658386.4</v>
      </c>
      <c r="S36" s="325">
        <f t="shared" ref="S36:AG36" si="46">SUM(S40:S74)+S37</f>
        <v>278964.30000000005</v>
      </c>
      <c r="T36" s="106">
        <f t="shared" si="46"/>
        <v>192813.37</v>
      </c>
      <c r="U36" s="106">
        <f t="shared" si="46"/>
        <v>202.4</v>
      </c>
      <c r="V36" s="106">
        <f t="shared" si="46"/>
        <v>1730.8000000000002</v>
      </c>
      <c r="W36" s="106">
        <f t="shared" si="46"/>
        <v>3701.8</v>
      </c>
      <c r="X36" s="106">
        <f t="shared" si="46"/>
        <v>59594.8</v>
      </c>
      <c r="Y36" s="106">
        <f t="shared" si="46"/>
        <v>5460.7000000000007</v>
      </c>
      <c r="Z36" s="106">
        <f t="shared" si="46"/>
        <v>14111.999999999998</v>
      </c>
      <c r="AA36" s="106">
        <f t="shared" si="46"/>
        <v>7491.7999999999993</v>
      </c>
      <c r="AB36" s="106">
        <f t="shared" si="46"/>
        <v>14951.800000000001</v>
      </c>
      <c r="AC36" s="106">
        <f t="shared" si="46"/>
        <v>27601</v>
      </c>
      <c r="AD36" s="106">
        <f t="shared" si="46"/>
        <v>35976.370000000003</v>
      </c>
      <c r="AE36" s="106">
        <f t="shared" si="46"/>
        <v>21989.899999999998</v>
      </c>
      <c r="AF36" s="106">
        <f t="shared" si="46"/>
        <v>51427.3</v>
      </c>
      <c r="AG36" s="106">
        <f t="shared" si="46"/>
        <v>244240.50000000003</v>
      </c>
      <c r="AH36" s="106">
        <f t="shared" ref="AH36" si="47">SUM(AH40:AH74)+AH37</f>
        <v>43847</v>
      </c>
      <c r="AI36" s="106">
        <f>SUM(AI40:AI74)+AI37+AI38+AI39</f>
        <v>132413.1</v>
      </c>
      <c r="AJ36" s="106">
        <f t="shared" ref="AJ36:BR36" si="48">SUM(AJ40:AJ74)+AJ37+AJ38+AJ39</f>
        <v>98172.099999999977</v>
      </c>
      <c r="AK36" s="106">
        <f t="shared" si="48"/>
        <v>3714.7</v>
      </c>
      <c r="AL36" s="106">
        <f t="shared" si="48"/>
        <v>0</v>
      </c>
      <c r="AM36" s="106">
        <f t="shared" si="48"/>
        <v>933.9</v>
      </c>
      <c r="AN36" s="106">
        <f t="shared" si="48"/>
        <v>2780.7999999999997</v>
      </c>
      <c r="AO36" s="106">
        <f t="shared" si="48"/>
        <v>23485.200000000001</v>
      </c>
      <c r="AP36" s="106">
        <f t="shared" si="48"/>
        <v>8283.5</v>
      </c>
      <c r="AQ36" s="106">
        <f t="shared" si="48"/>
        <v>10927.900000000001</v>
      </c>
      <c r="AR36" s="106">
        <f t="shared" si="48"/>
        <v>8873.8000000000011</v>
      </c>
      <c r="AS36" s="106">
        <f t="shared" si="48"/>
        <v>23880</v>
      </c>
      <c r="AT36" s="106">
        <f t="shared" si="48"/>
        <v>13609.3</v>
      </c>
      <c r="AU36" s="106">
        <f t="shared" si="48"/>
        <v>10270.700000000001</v>
      </c>
      <c r="AV36" s="106">
        <f t="shared" si="48"/>
        <v>0</v>
      </c>
      <c r="AW36" s="106">
        <f t="shared" si="48"/>
        <v>47092.2</v>
      </c>
      <c r="AX36" s="106">
        <f t="shared" si="48"/>
        <v>21964.1</v>
      </c>
      <c r="AY36" s="106">
        <f t="shared" si="48"/>
        <v>4121.1000000000004</v>
      </c>
      <c r="AZ36" s="106">
        <f t="shared" si="48"/>
        <v>21600</v>
      </c>
      <c r="BA36" s="106">
        <f t="shared" si="48"/>
        <v>205.9</v>
      </c>
      <c r="BB36" s="106">
        <f t="shared" si="48"/>
        <v>933.9</v>
      </c>
      <c r="BC36" s="106">
        <f t="shared" si="48"/>
        <v>2780.7999999999997</v>
      </c>
      <c r="BD36" s="106">
        <f t="shared" si="48"/>
        <v>8283.5</v>
      </c>
      <c r="BE36" s="106">
        <f t="shared" si="48"/>
        <v>10927.900000000001</v>
      </c>
      <c r="BF36" s="106">
        <f t="shared" si="48"/>
        <v>8873.8000000000011</v>
      </c>
      <c r="BG36" s="106">
        <f t="shared" si="48"/>
        <v>13609.3</v>
      </c>
      <c r="BH36" s="106">
        <f t="shared" si="48"/>
        <v>10270.700000000001</v>
      </c>
      <c r="BI36" s="106">
        <f t="shared" si="48"/>
        <v>18748.3</v>
      </c>
      <c r="BJ36" s="106">
        <f t="shared" si="48"/>
        <v>21964.1</v>
      </c>
      <c r="BK36" s="106">
        <f t="shared" si="48"/>
        <v>4121.1000000000004</v>
      </c>
      <c r="BL36" s="106">
        <f t="shared" si="48"/>
        <v>25519.1</v>
      </c>
      <c r="BM36" s="106">
        <f t="shared" si="48"/>
        <v>126238.39999999999</v>
      </c>
      <c r="BN36" s="106">
        <f t="shared" si="48"/>
        <v>0</v>
      </c>
      <c r="BO36" s="169">
        <f t="shared" si="34"/>
        <v>287.90658425890024</v>
      </c>
      <c r="BP36" s="106">
        <f t="shared" si="48"/>
        <v>82391.399999999965</v>
      </c>
      <c r="BQ36" s="187">
        <f t="shared" si="30"/>
        <v>95.336790695180454</v>
      </c>
      <c r="BR36" s="106">
        <f t="shared" si="48"/>
        <v>-6174.7000000000035</v>
      </c>
      <c r="BS36" s="187">
        <f t="shared" si="31"/>
        <v>51.686104474892566</v>
      </c>
      <c r="BT36" s="187">
        <f t="shared" ref="BT36:BT67" si="49">BM36-AG36</f>
        <v>-118002.10000000003</v>
      </c>
      <c r="BU36" s="554"/>
      <c r="BV36" s="72"/>
    </row>
    <row r="37" spans="1:76" s="19" customFormat="1" ht="45" outlineLevel="2" x14ac:dyDescent="0.25">
      <c r="A37" s="18"/>
      <c r="B37" s="9" t="s">
        <v>250</v>
      </c>
      <c r="C37" s="20" t="s">
        <v>249</v>
      </c>
      <c r="D37" s="99"/>
      <c r="E37" s="99"/>
      <c r="F37" s="176">
        <v>0</v>
      </c>
      <c r="G37" s="176"/>
      <c r="H37" s="176">
        <v>130928.3</v>
      </c>
      <c r="I37" s="176">
        <v>253.7</v>
      </c>
      <c r="J37" s="176"/>
      <c r="K37" s="176">
        <v>2214.1</v>
      </c>
      <c r="L37" s="176">
        <v>5104.6000000000004</v>
      </c>
      <c r="M37" s="174">
        <v>39424.400000000001</v>
      </c>
      <c r="N37" s="176">
        <v>41901.300000000003</v>
      </c>
      <c r="O37" s="176">
        <v>27320.7</v>
      </c>
      <c r="P37" s="176">
        <v>15089.7</v>
      </c>
      <c r="Q37" s="176">
        <f>92270.7+12850.7</f>
        <v>105121.4</v>
      </c>
      <c r="R37" s="176">
        <f t="shared" ref="R37:R55" si="50">F37+G37+H37+I37+J37+K37+L37+M37+N37+O37+P37+Q37</f>
        <v>367358.20000000007</v>
      </c>
      <c r="S37" s="324">
        <v>22614.7</v>
      </c>
      <c r="T37" s="324">
        <f t="shared" si="13"/>
        <v>22614.7</v>
      </c>
      <c r="U37" s="176"/>
      <c r="V37" s="174"/>
      <c r="W37" s="176"/>
      <c r="X37" s="176">
        <v>22614.7</v>
      </c>
      <c r="Y37" s="176"/>
      <c r="Z37" s="176"/>
      <c r="AA37" s="174"/>
      <c r="AB37" s="176"/>
      <c r="AC37" s="176"/>
      <c r="AD37" s="176"/>
      <c r="AE37" s="176"/>
      <c r="AF37" s="176"/>
      <c r="AG37" s="401">
        <f t="shared" ref="AG37:AG48" si="51">U37+V37+W37+X37+Y37+Z37+AA37+AB37+AC37+AF37+AE37+AD37</f>
        <v>22614.7</v>
      </c>
      <c r="AH37" s="335">
        <v>0</v>
      </c>
      <c r="AI37" s="170">
        <v>0</v>
      </c>
      <c r="AJ37" s="335">
        <f>AK37+AO37+AS37+AW37</f>
        <v>0</v>
      </c>
      <c r="AK37" s="402">
        <f t="shared" ref="AK37:AK74" si="52">AL37+AM37+AN37</f>
        <v>0</v>
      </c>
      <c r="AL37" s="324"/>
      <c r="AM37" s="324">
        <f>BB37</f>
        <v>0</v>
      </c>
      <c r="AN37" s="324">
        <f>BC37</f>
        <v>0</v>
      </c>
      <c r="AO37" s="324">
        <f>AP37+AQ37+AR37</f>
        <v>0</v>
      </c>
      <c r="AP37" s="324">
        <f>BD37</f>
        <v>0</v>
      </c>
      <c r="AQ37" s="324"/>
      <c r="AR37" s="176">
        <f>BF37</f>
        <v>0</v>
      </c>
      <c r="AS37" s="176">
        <f>AT37+AU37+AV37</f>
        <v>0</v>
      </c>
      <c r="AT37" s="176"/>
      <c r="AU37" s="176">
        <f>BH37</f>
        <v>0</v>
      </c>
      <c r="AV37" s="176"/>
      <c r="AW37" s="355">
        <f>AX37+AY37+AZ37</f>
        <v>0</v>
      </c>
      <c r="AX37" s="176"/>
      <c r="AY37" s="176"/>
      <c r="AZ37" s="176"/>
      <c r="BA37" s="176"/>
      <c r="BB37" s="174"/>
      <c r="BC37" s="176"/>
      <c r="BD37" s="176"/>
      <c r="BE37" s="176"/>
      <c r="BF37" s="176"/>
      <c r="BG37" s="174"/>
      <c r="BH37" s="176"/>
      <c r="BI37" s="176"/>
      <c r="BJ37" s="176"/>
      <c r="BK37" s="176"/>
      <c r="BL37" s="176"/>
      <c r="BM37" s="346">
        <f t="shared" si="44"/>
        <v>0</v>
      </c>
      <c r="BN37" s="337"/>
      <c r="BO37" s="99"/>
      <c r="BP37" s="102">
        <f t="shared" ref="BP37:BP74" si="53">BM37-AH37</f>
        <v>0</v>
      </c>
      <c r="BQ37" s="186"/>
      <c r="BR37" s="186">
        <f t="shared" ref="BR37:BR68" si="54">BM37-AI37</f>
        <v>0</v>
      </c>
      <c r="BS37" s="186">
        <f t="shared" si="31"/>
        <v>0</v>
      </c>
      <c r="BT37" s="186">
        <f t="shared" si="49"/>
        <v>-22614.7</v>
      </c>
    </row>
    <row r="38" spans="1:76" s="19" customFormat="1" ht="60" outlineLevel="2" x14ac:dyDescent="0.25">
      <c r="A38" s="18"/>
      <c r="B38" s="9" t="s">
        <v>649</v>
      </c>
      <c r="C38" s="20" t="s">
        <v>93</v>
      </c>
      <c r="D38" s="99"/>
      <c r="E38" s="99"/>
      <c r="F38" s="176"/>
      <c r="G38" s="176"/>
      <c r="H38" s="176"/>
      <c r="I38" s="176"/>
      <c r="J38" s="176"/>
      <c r="K38" s="176"/>
      <c r="L38" s="176"/>
      <c r="M38" s="174"/>
      <c r="N38" s="176"/>
      <c r="O38" s="176"/>
      <c r="P38" s="176"/>
      <c r="Q38" s="176"/>
      <c r="R38" s="176"/>
      <c r="S38" s="324"/>
      <c r="T38" s="324"/>
      <c r="U38" s="176"/>
      <c r="V38" s="174"/>
      <c r="W38" s="176"/>
      <c r="X38" s="176"/>
      <c r="Y38" s="176"/>
      <c r="Z38" s="176"/>
      <c r="AA38" s="174"/>
      <c r="AB38" s="176"/>
      <c r="AC38" s="176"/>
      <c r="AD38" s="176"/>
      <c r="AE38" s="176"/>
      <c r="AF38" s="176"/>
      <c r="AG38" s="401"/>
      <c r="AH38" s="335"/>
      <c r="AI38" s="170">
        <v>444.8</v>
      </c>
      <c r="AJ38" s="335"/>
      <c r="AK38" s="402"/>
      <c r="AL38" s="324"/>
      <c r="AM38" s="324"/>
      <c r="AN38" s="324"/>
      <c r="AO38" s="324"/>
      <c r="AP38" s="324"/>
      <c r="AQ38" s="324"/>
      <c r="AR38" s="176"/>
      <c r="AS38" s="176"/>
      <c r="AT38" s="176"/>
      <c r="AU38" s="176"/>
      <c r="AV38" s="176"/>
      <c r="AW38" s="355"/>
      <c r="AX38" s="176"/>
      <c r="AY38" s="176"/>
      <c r="AZ38" s="176">
        <v>444.8</v>
      </c>
      <c r="BA38" s="176"/>
      <c r="BB38" s="174"/>
      <c r="BC38" s="176"/>
      <c r="BD38" s="176"/>
      <c r="BE38" s="176"/>
      <c r="BF38" s="176"/>
      <c r="BG38" s="174"/>
      <c r="BH38" s="176"/>
      <c r="BI38" s="176"/>
      <c r="BJ38" s="176"/>
      <c r="BK38" s="176"/>
      <c r="BL38" s="176">
        <v>444.8</v>
      </c>
      <c r="BM38" s="346">
        <f t="shared" si="44"/>
        <v>444.8</v>
      </c>
      <c r="BN38" s="337"/>
      <c r="BO38" s="99"/>
      <c r="BP38" s="102">
        <f t="shared" si="53"/>
        <v>444.8</v>
      </c>
      <c r="BQ38" s="186">
        <f t="shared" ref="BQ38:BQ46" si="55">BM38/AI38*100</f>
        <v>100</v>
      </c>
      <c r="BR38" s="186">
        <f t="shared" si="54"/>
        <v>0</v>
      </c>
      <c r="BS38" s="186"/>
      <c r="BT38" s="186">
        <f t="shared" si="49"/>
        <v>444.8</v>
      </c>
    </row>
    <row r="39" spans="1:76" s="19" customFormat="1" ht="60" outlineLevel="2" x14ac:dyDescent="0.25">
      <c r="A39" s="18"/>
      <c r="B39" s="9" t="s">
        <v>650</v>
      </c>
      <c r="C39" s="20" t="s">
        <v>201</v>
      </c>
      <c r="D39" s="99"/>
      <c r="E39" s="99"/>
      <c r="F39" s="176"/>
      <c r="G39" s="176"/>
      <c r="H39" s="176"/>
      <c r="I39" s="176"/>
      <c r="J39" s="176"/>
      <c r="K39" s="176"/>
      <c r="L39" s="176"/>
      <c r="M39" s="174"/>
      <c r="N39" s="176"/>
      <c r="O39" s="176"/>
      <c r="P39" s="176"/>
      <c r="Q39" s="176"/>
      <c r="R39" s="176"/>
      <c r="S39" s="324"/>
      <c r="T39" s="324"/>
      <c r="U39" s="176"/>
      <c r="V39" s="174"/>
      <c r="W39" s="176"/>
      <c r="X39" s="176"/>
      <c r="Y39" s="176"/>
      <c r="Z39" s="176"/>
      <c r="AA39" s="174"/>
      <c r="AB39" s="176"/>
      <c r="AC39" s="176"/>
      <c r="AD39" s="176"/>
      <c r="AE39" s="176"/>
      <c r="AF39" s="176"/>
      <c r="AG39" s="401"/>
      <c r="AH39" s="335"/>
      <c r="AI39" s="170">
        <v>148.19999999999999</v>
      </c>
      <c r="AJ39" s="335"/>
      <c r="AK39" s="402"/>
      <c r="AL39" s="324"/>
      <c r="AM39" s="324"/>
      <c r="AN39" s="324"/>
      <c r="AO39" s="324"/>
      <c r="AP39" s="324"/>
      <c r="AQ39" s="324"/>
      <c r="AR39" s="176"/>
      <c r="AS39" s="176"/>
      <c r="AT39" s="176"/>
      <c r="AU39" s="176"/>
      <c r="AV39" s="176"/>
      <c r="AW39" s="355"/>
      <c r="AX39" s="176"/>
      <c r="AY39" s="176"/>
      <c r="AZ39" s="176">
        <v>148.19999999999999</v>
      </c>
      <c r="BA39" s="176"/>
      <c r="BB39" s="174"/>
      <c r="BC39" s="176"/>
      <c r="BD39" s="176"/>
      <c r="BE39" s="176"/>
      <c r="BF39" s="176"/>
      <c r="BG39" s="174"/>
      <c r="BH39" s="176"/>
      <c r="BI39" s="176"/>
      <c r="BJ39" s="176"/>
      <c r="BK39" s="176"/>
      <c r="BL39" s="176">
        <v>148.19999999999999</v>
      </c>
      <c r="BM39" s="346">
        <f t="shared" si="44"/>
        <v>148.19999999999999</v>
      </c>
      <c r="BN39" s="337"/>
      <c r="BO39" s="99"/>
      <c r="BP39" s="102">
        <f t="shared" si="53"/>
        <v>148.19999999999999</v>
      </c>
      <c r="BQ39" s="186">
        <f t="shared" si="55"/>
        <v>100</v>
      </c>
      <c r="BR39" s="186">
        <f t="shared" si="54"/>
        <v>0</v>
      </c>
      <c r="BS39" s="186"/>
      <c r="BT39" s="186">
        <f t="shared" si="49"/>
        <v>148.19999999999999</v>
      </c>
    </row>
    <row r="40" spans="1:76" s="19" customFormat="1" ht="34.5" customHeight="1" outlineLevel="2" x14ac:dyDescent="0.25">
      <c r="A40" s="18"/>
      <c r="B40" s="9" t="s">
        <v>287</v>
      </c>
      <c r="C40" s="20" t="s">
        <v>272</v>
      </c>
      <c r="D40" s="99"/>
      <c r="E40" s="99"/>
      <c r="F40" s="174"/>
      <c r="G40" s="174"/>
      <c r="H40" s="176"/>
      <c r="I40" s="174"/>
      <c r="J40" s="174"/>
      <c r="K40" s="174"/>
      <c r="L40" s="176"/>
      <c r="M40" s="174"/>
      <c r="N40" s="176">
        <v>13990.7</v>
      </c>
      <c r="O40" s="176">
        <v>0.1</v>
      </c>
      <c r="P40" s="174"/>
      <c r="Q40" s="174"/>
      <c r="R40" s="176">
        <f t="shared" si="50"/>
        <v>13990.800000000001</v>
      </c>
      <c r="S40" s="324">
        <v>15167.9</v>
      </c>
      <c r="T40" s="324">
        <f t="shared" si="13"/>
        <v>6571.7</v>
      </c>
      <c r="U40" s="176"/>
      <c r="V40" s="174"/>
      <c r="W40" s="176"/>
      <c r="X40" s="176"/>
      <c r="Y40" s="176"/>
      <c r="Z40" s="176"/>
      <c r="AA40" s="174"/>
      <c r="AB40" s="176">
        <v>5442.7</v>
      </c>
      <c r="AC40" s="176"/>
      <c r="AD40" s="176">
        <v>1129</v>
      </c>
      <c r="AE40" s="176"/>
      <c r="AF40" s="176">
        <v>8535.7000000000007</v>
      </c>
      <c r="AG40" s="401">
        <f t="shared" si="51"/>
        <v>15107.400000000001</v>
      </c>
      <c r="AH40" s="335">
        <v>0</v>
      </c>
      <c r="AI40" s="170">
        <v>11030.2</v>
      </c>
      <c r="AJ40" s="335">
        <f t="shared" ref="AJ40:AJ74" si="56">AK40+AO40+AS40+AW40</f>
        <v>2675.2</v>
      </c>
      <c r="AK40" s="402">
        <f t="shared" si="52"/>
        <v>0</v>
      </c>
      <c r="AL40" s="324"/>
      <c r="AM40" s="324">
        <f t="shared" ref="AM40:AN74" si="57">BB40</f>
        <v>0</v>
      </c>
      <c r="AN40" s="324">
        <f t="shared" si="57"/>
        <v>0</v>
      </c>
      <c r="AO40" s="324">
        <f t="shared" ref="AO40:AO110" si="58">AP40+AQ40+AR40</f>
        <v>0</v>
      </c>
      <c r="AP40" s="324">
        <f t="shared" ref="AP40:AQ74" si="59">BD40</f>
        <v>0</v>
      </c>
      <c r="AQ40" s="324"/>
      <c r="AR40" s="176">
        <f t="shared" ref="AR40:AR74" si="60">BF40</f>
        <v>0</v>
      </c>
      <c r="AS40" s="176">
        <f t="shared" ref="AS40:AS110" si="61">AT40+AU40+AV40</f>
        <v>0</v>
      </c>
      <c r="AT40" s="176"/>
      <c r="AU40" s="176">
        <f t="shared" ref="AU40:AU74" si="62">BH40</f>
        <v>0</v>
      </c>
      <c r="AV40" s="176"/>
      <c r="AW40" s="355">
        <f t="shared" ref="AW40:AW110" si="63">AX40+AY40+AZ40</f>
        <v>2675.2</v>
      </c>
      <c r="AX40" s="176">
        <f>BJ40</f>
        <v>2675.2</v>
      </c>
      <c r="AY40" s="176"/>
      <c r="AZ40" s="176"/>
      <c r="BA40" s="176"/>
      <c r="BB40" s="174"/>
      <c r="BC40" s="176"/>
      <c r="BD40" s="176"/>
      <c r="BE40" s="176"/>
      <c r="BF40" s="176"/>
      <c r="BG40" s="174"/>
      <c r="BH40" s="176"/>
      <c r="BI40" s="176">
        <v>7851.4</v>
      </c>
      <c r="BJ40" s="176">
        <v>2675.2</v>
      </c>
      <c r="BK40" s="176"/>
      <c r="BL40" s="176">
        <v>503.2</v>
      </c>
      <c r="BM40" s="346">
        <f t="shared" si="44"/>
        <v>11029.8</v>
      </c>
      <c r="BN40" s="337"/>
      <c r="BO40" s="99"/>
      <c r="BP40" s="102">
        <f t="shared" si="53"/>
        <v>11029.8</v>
      </c>
      <c r="BQ40" s="186">
        <f t="shared" si="55"/>
        <v>99.996373592500575</v>
      </c>
      <c r="BR40" s="186">
        <f t="shared" si="54"/>
        <v>-0.40000000000145519</v>
      </c>
      <c r="BS40" s="186">
        <f>BM40/AG40*100</f>
        <v>73.009253743198684</v>
      </c>
      <c r="BT40" s="186">
        <f t="shared" si="49"/>
        <v>-4077.6000000000022</v>
      </c>
    </row>
    <row r="41" spans="1:76" s="19" customFormat="1" ht="75" customHeight="1" outlineLevel="2" x14ac:dyDescent="0.25">
      <c r="A41" s="18"/>
      <c r="B41" s="21" t="s">
        <v>445</v>
      </c>
      <c r="C41" s="20" t="s">
        <v>137</v>
      </c>
      <c r="D41" s="171"/>
      <c r="E41" s="171"/>
      <c r="F41" s="174"/>
      <c r="G41" s="174"/>
      <c r="H41" s="176"/>
      <c r="I41" s="174"/>
      <c r="J41" s="174"/>
      <c r="K41" s="174"/>
      <c r="L41" s="176"/>
      <c r="M41" s="174"/>
      <c r="N41" s="176"/>
      <c r="O41" s="176"/>
      <c r="P41" s="174"/>
      <c r="Q41" s="174"/>
      <c r="R41" s="176">
        <f t="shared" si="50"/>
        <v>0</v>
      </c>
      <c r="S41" s="324">
        <f>1766.4+4251.5</f>
        <v>6017.9</v>
      </c>
      <c r="T41" s="324">
        <f t="shared" si="13"/>
        <v>6017.9</v>
      </c>
      <c r="U41" s="176"/>
      <c r="V41" s="174"/>
      <c r="W41" s="176"/>
      <c r="X41" s="176">
        <v>1766.4</v>
      </c>
      <c r="Y41" s="176"/>
      <c r="Z41" s="176"/>
      <c r="AA41" s="174"/>
      <c r="AB41" s="176"/>
      <c r="AC41" s="176"/>
      <c r="AD41" s="176">
        <v>2459.5</v>
      </c>
      <c r="AE41" s="176">
        <v>1792</v>
      </c>
      <c r="AF41" s="176"/>
      <c r="AG41" s="401">
        <f t="shared" si="51"/>
        <v>6017.9</v>
      </c>
      <c r="AH41" s="335">
        <v>0</v>
      </c>
      <c r="AI41" s="170">
        <v>2166.1999999999998</v>
      </c>
      <c r="AJ41" s="335">
        <f t="shared" si="56"/>
        <v>1174.7</v>
      </c>
      <c r="AK41" s="402">
        <f t="shared" si="52"/>
        <v>0</v>
      </c>
      <c r="AL41" s="324"/>
      <c r="AM41" s="324">
        <f t="shared" si="57"/>
        <v>0</v>
      </c>
      <c r="AN41" s="324">
        <f t="shared" si="57"/>
        <v>0</v>
      </c>
      <c r="AO41" s="324">
        <f t="shared" si="58"/>
        <v>0</v>
      </c>
      <c r="AP41" s="324">
        <f t="shared" si="59"/>
        <v>0</v>
      </c>
      <c r="AQ41" s="324"/>
      <c r="AR41" s="176">
        <f t="shared" si="60"/>
        <v>0</v>
      </c>
      <c r="AS41" s="176">
        <f t="shared" si="61"/>
        <v>0</v>
      </c>
      <c r="AT41" s="176"/>
      <c r="AU41" s="176">
        <f t="shared" si="62"/>
        <v>0</v>
      </c>
      <c r="AV41" s="176"/>
      <c r="AW41" s="355">
        <f t="shared" si="63"/>
        <v>1174.7</v>
      </c>
      <c r="AX41" s="176">
        <f t="shared" ref="AX41:AX46" si="64">BJ41</f>
        <v>1174.7</v>
      </c>
      <c r="AY41" s="176"/>
      <c r="AZ41" s="176"/>
      <c r="BA41" s="176"/>
      <c r="BB41" s="174"/>
      <c r="BC41" s="176"/>
      <c r="BD41" s="176"/>
      <c r="BE41" s="176"/>
      <c r="BF41" s="176"/>
      <c r="BG41" s="174"/>
      <c r="BH41" s="176"/>
      <c r="BI41" s="176">
        <v>991.5</v>
      </c>
      <c r="BJ41" s="176">
        <v>1174.7</v>
      </c>
      <c r="BK41" s="176"/>
      <c r="BL41" s="176"/>
      <c r="BM41" s="346">
        <f t="shared" si="44"/>
        <v>2166.1999999999998</v>
      </c>
      <c r="BN41" s="337"/>
      <c r="BO41" s="99"/>
      <c r="BP41" s="102">
        <f t="shared" si="53"/>
        <v>2166.1999999999998</v>
      </c>
      <c r="BQ41" s="186">
        <f t="shared" si="55"/>
        <v>100</v>
      </c>
      <c r="BR41" s="186">
        <f t="shared" si="54"/>
        <v>0</v>
      </c>
      <c r="BS41" s="186">
        <f>BM41/AG41*100</f>
        <v>35.995945429468748</v>
      </c>
      <c r="BT41" s="186">
        <f t="shared" si="49"/>
        <v>-3851.7</v>
      </c>
    </row>
    <row r="42" spans="1:76" s="19" customFormat="1" ht="62.25" customHeight="1" outlineLevel="2" x14ac:dyDescent="0.25">
      <c r="A42" s="18"/>
      <c r="B42" s="21" t="s">
        <v>280</v>
      </c>
      <c r="C42" s="20" t="s">
        <v>34</v>
      </c>
      <c r="D42" s="171"/>
      <c r="E42" s="171"/>
      <c r="F42" s="174"/>
      <c r="G42" s="174"/>
      <c r="H42" s="176"/>
      <c r="I42" s="174"/>
      <c r="J42" s="176"/>
      <c r="K42" s="174"/>
      <c r="L42" s="176"/>
      <c r="M42" s="174"/>
      <c r="N42" s="176"/>
      <c r="O42" s="176"/>
      <c r="P42" s="174"/>
      <c r="Q42" s="174"/>
      <c r="R42" s="176">
        <f t="shared" si="50"/>
        <v>0</v>
      </c>
      <c r="S42" s="324">
        <f>25.5+4651.5</f>
        <v>4677</v>
      </c>
      <c r="T42" s="324">
        <f t="shared" si="13"/>
        <v>4677</v>
      </c>
      <c r="U42" s="176"/>
      <c r="V42" s="174"/>
      <c r="W42" s="176"/>
      <c r="X42" s="176">
        <v>25.5</v>
      </c>
      <c r="Y42" s="176"/>
      <c r="Z42" s="176"/>
      <c r="AA42" s="174"/>
      <c r="AB42" s="176"/>
      <c r="AC42" s="176"/>
      <c r="AD42" s="176">
        <f>2690.6</f>
        <v>2690.6</v>
      </c>
      <c r="AE42" s="176">
        <f>25.5+1935.4</f>
        <v>1960.9</v>
      </c>
      <c r="AF42" s="176"/>
      <c r="AG42" s="401">
        <f t="shared" si="51"/>
        <v>4677</v>
      </c>
      <c r="AH42" s="335">
        <v>1496.7</v>
      </c>
      <c r="AI42" s="170">
        <v>2566.5</v>
      </c>
      <c r="AJ42" s="335">
        <f t="shared" si="56"/>
        <v>3449.5999999999995</v>
      </c>
      <c r="AK42" s="402">
        <f t="shared" si="52"/>
        <v>0</v>
      </c>
      <c r="AL42" s="324"/>
      <c r="AM42" s="324">
        <f t="shared" si="57"/>
        <v>0</v>
      </c>
      <c r="AN42" s="324">
        <f t="shared" si="57"/>
        <v>0</v>
      </c>
      <c r="AO42" s="324">
        <f t="shared" si="58"/>
        <v>4624.3999999999996</v>
      </c>
      <c r="AP42" s="324">
        <f t="shared" si="59"/>
        <v>0</v>
      </c>
      <c r="AQ42" s="176">
        <f>BE42</f>
        <v>3072.5</v>
      </c>
      <c r="AR42" s="176">
        <f t="shared" si="60"/>
        <v>1551.9</v>
      </c>
      <c r="AS42" s="176">
        <f t="shared" si="61"/>
        <v>0</v>
      </c>
      <c r="AT42" s="176"/>
      <c r="AU42" s="176">
        <f t="shared" si="62"/>
        <v>0</v>
      </c>
      <c r="AV42" s="176"/>
      <c r="AW42" s="355">
        <f t="shared" si="63"/>
        <v>-1174.8</v>
      </c>
      <c r="AX42" s="176">
        <f t="shared" si="64"/>
        <v>-1174.8</v>
      </c>
      <c r="AY42" s="176"/>
      <c r="AZ42" s="176"/>
      <c r="BA42" s="176"/>
      <c r="BB42" s="174"/>
      <c r="BC42" s="176"/>
      <c r="BD42" s="176"/>
      <c r="BE42" s="176">
        <v>3072.5</v>
      </c>
      <c r="BF42" s="176">
        <v>1551.9</v>
      </c>
      <c r="BG42" s="174"/>
      <c r="BH42" s="176"/>
      <c r="BI42" s="176">
        <f>-2057.8+1174.7</f>
        <v>-883.10000000000014</v>
      </c>
      <c r="BJ42" s="176">
        <v>-1174.8</v>
      </c>
      <c r="BK42" s="176"/>
      <c r="BL42" s="176"/>
      <c r="BM42" s="346">
        <f t="shared" si="44"/>
        <v>2566.4999999999991</v>
      </c>
      <c r="BN42" s="337"/>
      <c r="BO42" s="99">
        <f>BM42/AH42*100</f>
        <v>171.47724994988968</v>
      </c>
      <c r="BP42" s="102">
        <f t="shared" si="53"/>
        <v>1069.799999999999</v>
      </c>
      <c r="BQ42" s="186">
        <f t="shared" si="55"/>
        <v>99.999999999999972</v>
      </c>
      <c r="BR42" s="186">
        <f t="shared" si="54"/>
        <v>0</v>
      </c>
      <c r="BS42" s="186">
        <f>BM42/AG42*100</f>
        <v>54.874919820397672</v>
      </c>
      <c r="BT42" s="186">
        <f t="shared" si="49"/>
        <v>-2110.5000000000009</v>
      </c>
    </row>
    <row r="43" spans="1:76" s="19" customFormat="1" ht="59.25" customHeight="1" outlineLevel="2" x14ac:dyDescent="0.25">
      <c r="A43" s="18"/>
      <c r="B43" s="9" t="s">
        <v>579</v>
      </c>
      <c r="C43" s="20" t="s">
        <v>580</v>
      </c>
      <c r="D43" s="171"/>
      <c r="E43" s="171"/>
      <c r="F43" s="174"/>
      <c r="G43" s="174"/>
      <c r="H43" s="176">
        <v>103593.3</v>
      </c>
      <c r="I43" s="174"/>
      <c r="J43" s="176"/>
      <c r="K43" s="174"/>
      <c r="L43" s="176"/>
      <c r="M43" s="174"/>
      <c r="N43" s="176"/>
      <c r="O43" s="176"/>
      <c r="P43" s="174"/>
      <c r="Q43" s="174"/>
      <c r="R43" s="176">
        <f t="shared" si="50"/>
        <v>103593.3</v>
      </c>
      <c r="S43" s="324">
        <v>0</v>
      </c>
      <c r="T43" s="324">
        <f t="shared" si="13"/>
        <v>0</v>
      </c>
      <c r="U43" s="176"/>
      <c r="V43" s="174"/>
      <c r="W43" s="176"/>
      <c r="X43" s="176"/>
      <c r="Y43" s="176"/>
      <c r="Z43" s="176"/>
      <c r="AA43" s="174"/>
      <c r="AB43" s="176"/>
      <c r="AC43" s="176"/>
      <c r="AD43" s="176"/>
      <c r="AE43" s="176"/>
      <c r="AF43" s="176"/>
      <c r="AG43" s="401">
        <f t="shared" si="51"/>
        <v>0</v>
      </c>
      <c r="AH43" s="335"/>
      <c r="AI43" s="170">
        <v>3504</v>
      </c>
      <c r="AJ43" s="335">
        <f t="shared" si="56"/>
        <v>3222.9</v>
      </c>
      <c r="AK43" s="402">
        <f t="shared" si="52"/>
        <v>0</v>
      </c>
      <c r="AL43" s="324"/>
      <c r="AM43" s="324">
        <f t="shared" si="57"/>
        <v>0</v>
      </c>
      <c r="AN43" s="324">
        <f t="shared" si="57"/>
        <v>0</v>
      </c>
      <c r="AO43" s="324">
        <f t="shared" si="58"/>
        <v>0</v>
      </c>
      <c r="AP43" s="324">
        <f t="shared" si="59"/>
        <v>0</v>
      </c>
      <c r="AQ43" s="176">
        <f t="shared" si="59"/>
        <v>0</v>
      </c>
      <c r="AR43" s="176">
        <f t="shared" si="60"/>
        <v>0</v>
      </c>
      <c r="AS43" s="176">
        <f t="shared" si="61"/>
        <v>0</v>
      </c>
      <c r="AT43" s="176"/>
      <c r="AU43" s="176">
        <f t="shared" si="62"/>
        <v>0</v>
      </c>
      <c r="AV43" s="176"/>
      <c r="AW43" s="355">
        <f t="shared" si="63"/>
        <v>3222.9</v>
      </c>
      <c r="AX43" s="176">
        <f t="shared" si="64"/>
        <v>3222.9</v>
      </c>
      <c r="AY43" s="176"/>
      <c r="AZ43" s="176"/>
      <c r="BA43" s="176"/>
      <c r="BB43" s="174"/>
      <c r="BC43" s="176"/>
      <c r="BD43" s="176"/>
      <c r="BE43" s="176"/>
      <c r="BF43" s="176"/>
      <c r="BG43" s="174"/>
      <c r="BH43" s="176"/>
      <c r="BI43" s="176"/>
      <c r="BJ43" s="176">
        <v>3222.9</v>
      </c>
      <c r="BK43" s="176"/>
      <c r="BL43" s="176"/>
      <c r="BM43" s="346">
        <f t="shared" si="44"/>
        <v>3222.9</v>
      </c>
      <c r="BN43" s="337"/>
      <c r="BO43" s="99"/>
      <c r="BP43" s="102">
        <f t="shared" si="53"/>
        <v>3222.9</v>
      </c>
      <c r="BQ43" s="186">
        <f t="shared" si="55"/>
        <v>91.977739726027394</v>
      </c>
      <c r="BR43" s="186">
        <f t="shared" si="54"/>
        <v>-281.09999999999991</v>
      </c>
      <c r="BS43" s="186"/>
      <c r="BT43" s="186">
        <f t="shared" si="49"/>
        <v>3222.9</v>
      </c>
    </row>
    <row r="44" spans="1:76" s="19" customFormat="1" ht="35.25" customHeight="1" outlineLevel="2" x14ac:dyDescent="0.25">
      <c r="A44" s="18"/>
      <c r="B44" s="9" t="s">
        <v>575</v>
      </c>
      <c r="C44" s="20" t="s">
        <v>465</v>
      </c>
      <c r="D44" s="171"/>
      <c r="E44" s="171"/>
      <c r="F44" s="174"/>
      <c r="G44" s="174"/>
      <c r="H44" s="176">
        <v>4316.3999999999996</v>
      </c>
      <c r="I44" s="174"/>
      <c r="J44" s="176"/>
      <c r="K44" s="174"/>
      <c r="L44" s="176"/>
      <c r="M44" s="174"/>
      <c r="N44" s="176"/>
      <c r="O44" s="176"/>
      <c r="P44" s="174"/>
      <c r="Q44" s="174"/>
      <c r="R44" s="176">
        <f t="shared" si="50"/>
        <v>4316.3999999999996</v>
      </c>
      <c r="S44" s="324">
        <v>0</v>
      </c>
      <c r="T44" s="324">
        <f t="shared" si="13"/>
        <v>0</v>
      </c>
      <c r="U44" s="176"/>
      <c r="V44" s="174"/>
      <c r="W44" s="176"/>
      <c r="X44" s="176"/>
      <c r="Y44" s="176"/>
      <c r="Z44" s="176"/>
      <c r="AA44" s="174"/>
      <c r="AB44" s="176"/>
      <c r="AC44" s="176"/>
      <c r="AD44" s="176"/>
      <c r="AE44" s="176"/>
      <c r="AF44" s="176"/>
      <c r="AG44" s="401">
        <f t="shared" si="51"/>
        <v>0</v>
      </c>
      <c r="AH44" s="335">
        <v>0</v>
      </c>
      <c r="AI44" s="170">
        <v>867</v>
      </c>
      <c r="AJ44" s="335">
        <f t="shared" si="56"/>
        <v>375.9</v>
      </c>
      <c r="AK44" s="402">
        <f t="shared" si="52"/>
        <v>0</v>
      </c>
      <c r="AL44" s="324"/>
      <c r="AM44" s="324">
        <f t="shared" si="57"/>
        <v>0</v>
      </c>
      <c r="AN44" s="324">
        <f t="shared" si="57"/>
        <v>0</v>
      </c>
      <c r="AO44" s="324">
        <f t="shared" si="58"/>
        <v>0</v>
      </c>
      <c r="AP44" s="324">
        <f t="shared" si="59"/>
        <v>0</v>
      </c>
      <c r="AQ44" s="176">
        <f t="shared" si="59"/>
        <v>0</v>
      </c>
      <c r="AR44" s="176">
        <f t="shared" si="60"/>
        <v>0</v>
      </c>
      <c r="AS44" s="176">
        <f t="shared" si="61"/>
        <v>0</v>
      </c>
      <c r="AT44" s="176"/>
      <c r="AU44" s="176">
        <f t="shared" si="62"/>
        <v>0</v>
      </c>
      <c r="AV44" s="176"/>
      <c r="AW44" s="355">
        <f t="shared" si="63"/>
        <v>375.9</v>
      </c>
      <c r="AX44" s="176">
        <f t="shared" si="64"/>
        <v>231</v>
      </c>
      <c r="AY44" s="176">
        <f>BK44</f>
        <v>144.9</v>
      </c>
      <c r="AZ44" s="176"/>
      <c r="BA44" s="176"/>
      <c r="BB44" s="174"/>
      <c r="BC44" s="176"/>
      <c r="BD44" s="176"/>
      <c r="BE44" s="176"/>
      <c r="BF44" s="176"/>
      <c r="BG44" s="174"/>
      <c r="BH44" s="176"/>
      <c r="BI44" s="176"/>
      <c r="BJ44" s="176">
        <v>231</v>
      </c>
      <c r="BK44" s="176">
        <v>144.9</v>
      </c>
      <c r="BL44" s="176">
        <v>237.5</v>
      </c>
      <c r="BM44" s="346">
        <f t="shared" si="44"/>
        <v>613.4</v>
      </c>
      <c r="BN44" s="337"/>
      <c r="BO44" s="99"/>
      <c r="BP44" s="102">
        <f t="shared" si="53"/>
        <v>613.4</v>
      </c>
      <c r="BQ44" s="186">
        <f t="shared" si="55"/>
        <v>70.749711649365622</v>
      </c>
      <c r="BR44" s="186">
        <f t="shared" si="54"/>
        <v>-253.60000000000002</v>
      </c>
      <c r="BS44" s="186"/>
      <c r="BT44" s="186">
        <f t="shared" si="49"/>
        <v>613.4</v>
      </c>
    </row>
    <row r="45" spans="1:76" s="547" customFormat="1" ht="45" outlineLevel="7" x14ac:dyDescent="0.25">
      <c r="A45" s="8" t="s">
        <v>117</v>
      </c>
      <c r="B45" s="9" t="s">
        <v>139</v>
      </c>
      <c r="C45" s="10" t="s">
        <v>118</v>
      </c>
      <c r="D45" s="68"/>
      <c r="E45" s="68"/>
      <c r="F45" s="174"/>
      <c r="G45" s="174">
        <v>1180</v>
      </c>
      <c r="H45" s="176">
        <v>561</v>
      </c>
      <c r="I45" s="176">
        <v>701.2</v>
      </c>
      <c r="J45" s="176">
        <v>701.2</v>
      </c>
      <c r="K45" s="174"/>
      <c r="L45" s="176"/>
      <c r="M45" s="174">
        <v>368.2</v>
      </c>
      <c r="N45" s="176">
        <v>368.1</v>
      </c>
      <c r="O45" s="176">
        <v>701.3</v>
      </c>
      <c r="P45" s="176">
        <v>631.29999999999995</v>
      </c>
      <c r="Q45" s="176">
        <v>666.2</v>
      </c>
      <c r="R45" s="176">
        <f t="shared" si="50"/>
        <v>5878.4999999999991</v>
      </c>
      <c r="S45" s="324">
        <v>5939.6</v>
      </c>
      <c r="T45" s="324">
        <f t="shared" si="13"/>
        <v>5410.6</v>
      </c>
      <c r="U45" s="176"/>
      <c r="V45" s="176">
        <v>1565.9</v>
      </c>
      <c r="W45" s="176">
        <v>150.69999999999999</v>
      </c>
      <c r="X45" s="176">
        <v>673.5</v>
      </c>
      <c r="Y45" s="176">
        <v>650</v>
      </c>
      <c r="Z45" s="176"/>
      <c r="AA45" s="174"/>
      <c r="AB45" s="176">
        <v>460</v>
      </c>
      <c r="AC45" s="176">
        <f>605.3-145.3</f>
        <v>459.99999999999994</v>
      </c>
      <c r="AD45" s="176">
        <v>740</v>
      </c>
      <c r="AE45" s="176">
        <v>710.5</v>
      </c>
      <c r="AF45" s="176">
        <f>749.9-220.9</f>
        <v>529</v>
      </c>
      <c r="AG45" s="401">
        <f t="shared" si="51"/>
        <v>5939.6</v>
      </c>
      <c r="AH45" s="335">
        <v>0</v>
      </c>
      <c r="AI45" s="335">
        <v>5505.8</v>
      </c>
      <c r="AJ45" s="335">
        <f t="shared" si="56"/>
        <v>4309.2</v>
      </c>
      <c r="AK45" s="402">
        <f t="shared" si="52"/>
        <v>1092</v>
      </c>
      <c r="AL45" s="324"/>
      <c r="AM45" s="324">
        <f t="shared" si="57"/>
        <v>546</v>
      </c>
      <c r="AN45" s="324">
        <f t="shared" si="57"/>
        <v>546</v>
      </c>
      <c r="AO45" s="324">
        <f t="shared" si="58"/>
        <v>1724.1</v>
      </c>
      <c r="AP45" s="324">
        <f t="shared" si="59"/>
        <v>1238.0999999999999</v>
      </c>
      <c r="AQ45" s="176">
        <f t="shared" si="59"/>
        <v>486</v>
      </c>
      <c r="AR45" s="176">
        <f t="shared" si="60"/>
        <v>0</v>
      </c>
      <c r="AS45" s="176">
        <f t="shared" si="61"/>
        <v>195</v>
      </c>
      <c r="AT45" s="176"/>
      <c r="AU45" s="176">
        <f t="shared" si="62"/>
        <v>195</v>
      </c>
      <c r="AV45" s="176"/>
      <c r="AW45" s="355">
        <f t="shared" si="63"/>
        <v>1298.0999999999999</v>
      </c>
      <c r="AX45" s="176">
        <f t="shared" si="64"/>
        <v>585</v>
      </c>
      <c r="AY45" s="176">
        <f>BK45</f>
        <v>713.1</v>
      </c>
      <c r="AZ45" s="176"/>
      <c r="BA45" s="176"/>
      <c r="BB45" s="176">
        <v>546</v>
      </c>
      <c r="BC45" s="176">
        <v>546</v>
      </c>
      <c r="BD45" s="176">
        <v>1238.0999999999999</v>
      </c>
      <c r="BE45" s="176">
        <v>486</v>
      </c>
      <c r="BF45" s="176"/>
      <c r="BG45" s="174"/>
      <c r="BH45" s="176">
        <v>195</v>
      </c>
      <c r="BI45" s="176">
        <v>525</v>
      </c>
      <c r="BJ45" s="176">
        <v>585</v>
      </c>
      <c r="BK45" s="176">
        <v>713.1</v>
      </c>
      <c r="BL45" s="176">
        <v>671.6</v>
      </c>
      <c r="BM45" s="346">
        <f t="shared" si="44"/>
        <v>5505.8000000000011</v>
      </c>
      <c r="BN45" s="337"/>
      <c r="BO45" s="99"/>
      <c r="BP45" s="102">
        <f t="shared" si="53"/>
        <v>5505.8000000000011</v>
      </c>
      <c r="BQ45" s="186">
        <f t="shared" si="55"/>
        <v>100.00000000000003</v>
      </c>
      <c r="BR45" s="186">
        <f t="shared" si="54"/>
        <v>0</v>
      </c>
      <c r="BS45" s="186">
        <f t="shared" ref="BS45:BS66" si="65">BM45/AG45*100</f>
        <v>92.69647787729815</v>
      </c>
      <c r="BT45" s="186">
        <f t="shared" si="49"/>
        <v>-433.79999999999927</v>
      </c>
      <c r="BU45" s="554"/>
    </row>
    <row r="46" spans="1:76" s="547" customFormat="1" ht="45" outlineLevel="7" x14ac:dyDescent="0.25">
      <c r="A46" s="8" t="s">
        <v>36</v>
      </c>
      <c r="B46" s="9" t="s">
        <v>115</v>
      </c>
      <c r="C46" s="10" t="s">
        <v>37</v>
      </c>
      <c r="D46" s="68"/>
      <c r="E46" s="68"/>
      <c r="F46" s="174"/>
      <c r="G46" s="174">
        <v>372.6</v>
      </c>
      <c r="H46" s="176">
        <v>177.2</v>
      </c>
      <c r="I46" s="176">
        <v>221.4</v>
      </c>
      <c r="J46" s="176">
        <v>221.5</v>
      </c>
      <c r="K46" s="174"/>
      <c r="L46" s="176"/>
      <c r="M46" s="174">
        <v>116.2</v>
      </c>
      <c r="N46" s="176">
        <v>116.3</v>
      </c>
      <c r="O46" s="176">
        <v>221.4</v>
      </c>
      <c r="P46" s="176">
        <v>199.4</v>
      </c>
      <c r="Q46" s="176">
        <v>210.3</v>
      </c>
      <c r="R46" s="176">
        <f t="shared" si="50"/>
        <v>1856.3</v>
      </c>
      <c r="S46" s="324">
        <v>1875.7</v>
      </c>
      <c r="T46" s="324">
        <f t="shared" si="13"/>
        <v>1484.1999999999998</v>
      </c>
      <c r="U46" s="176"/>
      <c r="V46" s="174"/>
      <c r="W46" s="176">
        <v>375.8</v>
      </c>
      <c r="X46" s="176">
        <v>379</v>
      </c>
      <c r="Y46" s="176">
        <v>205.2</v>
      </c>
      <c r="Z46" s="176"/>
      <c r="AA46" s="174"/>
      <c r="AB46" s="176">
        <v>145.30000000000001</v>
      </c>
      <c r="AC46" s="176">
        <v>145.30000000000001</v>
      </c>
      <c r="AD46" s="176">
        <v>233.6</v>
      </c>
      <c r="AE46" s="176"/>
      <c r="AF46" s="176">
        <f>220.9+170.6</f>
        <v>391.5</v>
      </c>
      <c r="AG46" s="401">
        <f t="shared" si="51"/>
        <v>1875.6999999999998</v>
      </c>
      <c r="AH46" s="335">
        <v>1908.8</v>
      </c>
      <c r="AI46" s="99">
        <v>1835.2</v>
      </c>
      <c r="AJ46" s="335">
        <f t="shared" si="56"/>
        <v>1436.4</v>
      </c>
      <c r="AK46" s="402">
        <f t="shared" si="52"/>
        <v>364</v>
      </c>
      <c r="AL46" s="324"/>
      <c r="AM46" s="324">
        <f t="shared" si="57"/>
        <v>182</v>
      </c>
      <c r="AN46" s="324">
        <f t="shared" si="57"/>
        <v>182</v>
      </c>
      <c r="AO46" s="324">
        <f t="shared" si="58"/>
        <v>574.70000000000005</v>
      </c>
      <c r="AP46" s="324">
        <f t="shared" si="59"/>
        <v>412.7</v>
      </c>
      <c r="AQ46" s="176">
        <f t="shared" si="59"/>
        <v>162</v>
      </c>
      <c r="AR46" s="176">
        <f t="shared" si="60"/>
        <v>0</v>
      </c>
      <c r="AS46" s="176">
        <f t="shared" si="61"/>
        <v>65</v>
      </c>
      <c r="AT46" s="176"/>
      <c r="AU46" s="176">
        <f t="shared" si="62"/>
        <v>65</v>
      </c>
      <c r="AV46" s="176"/>
      <c r="AW46" s="355">
        <f t="shared" si="63"/>
        <v>432.7</v>
      </c>
      <c r="AX46" s="176">
        <f t="shared" si="64"/>
        <v>195</v>
      </c>
      <c r="AY46" s="176">
        <f>BK46</f>
        <v>237.7</v>
      </c>
      <c r="AZ46" s="176"/>
      <c r="BA46" s="176"/>
      <c r="BB46" s="176">
        <v>182</v>
      </c>
      <c r="BC46" s="176">
        <v>182</v>
      </c>
      <c r="BD46" s="176">
        <v>412.7</v>
      </c>
      <c r="BE46" s="176">
        <v>162</v>
      </c>
      <c r="BF46" s="176"/>
      <c r="BG46" s="174"/>
      <c r="BH46" s="176">
        <v>65</v>
      </c>
      <c r="BI46" s="176">
        <v>175</v>
      </c>
      <c r="BJ46" s="176">
        <v>195</v>
      </c>
      <c r="BK46" s="176">
        <v>237.7</v>
      </c>
      <c r="BL46" s="176">
        <v>223.9</v>
      </c>
      <c r="BM46" s="346">
        <f t="shared" si="44"/>
        <v>1835.3000000000002</v>
      </c>
      <c r="BN46" s="337"/>
      <c r="BO46" s="99">
        <f>BM46/AH46*100</f>
        <v>96.149413243922893</v>
      </c>
      <c r="BP46" s="102">
        <f t="shared" si="53"/>
        <v>-73.499999999999773</v>
      </c>
      <c r="BQ46" s="186">
        <f t="shared" si="55"/>
        <v>100.00544899738448</v>
      </c>
      <c r="BR46" s="186">
        <f t="shared" si="54"/>
        <v>0.10000000000013642</v>
      </c>
      <c r="BS46" s="186">
        <f t="shared" si="65"/>
        <v>97.846137442021657</v>
      </c>
      <c r="BT46" s="186">
        <f t="shared" si="49"/>
        <v>-40.399999999999636</v>
      </c>
      <c r="BU46" s="554"/>
    </row>
    <row r="47" spans="1:76" s="547" customFormat="1" ht="70.5" customHeight="1" outlineLevel="7" x14ac:dyDescent="0.25">
      <c r="A47" s="8" t="s">
        <v>39</v>
      </c>
      <c r="B47" s="9" t="s">
        <v>119</v>
      </c>
      <c r="C47" s="10" t="s">
        <v>328</v>
      </c>
      <c r="D47" s="68"/>
      <c r="E47" s="68"/>
      <c r="F47" s="176"/>
      <c r="G47" s="176"/>
      <c r="H47" s="176"/>
      <c r="I47" s="176"/>
      <c r="J47" s="176">
        <v>813.6</v>
      </c>
      <c r="K47" s="176">
        <v>71.599999999999994</v>
      </c>
      <c r="L47" s="176"/>
      <c r="M47" s="174"/>
      <c r="N47" s="176"/>
      <c r="O47" s="176"/>
      <c r="P47" s="174"/>
      <c r="Q47" s="174"/>
      <c r="R47" s="176">
        <f t="shared" si="50"/>
        <v>885.2</v>
      </c>
      <c r="S47" s="324">
        <v>837.5</v>
      </c>
      <c r="T47" s="324">
        <f t="shared" si="13"/>
        <v>837.5</v>
      </c>
      <c r="U47" s="176"/>
      <c r="V47" s="174"/>
      <c r="W47" s="176"/>
      <c r="X47" s="176"/>
      <c r="Y47" s="176"/>
      <c r="Z47" s="176">
        <v>537.29999999999995</v>
      </c>
      <c r="AA47" s="174">
        <v>116.9</v>
      </c>
      <c r="AB47" s="176">
        <v>183.3</v>
      </c>
      <c r="AC47" s="176"/>
      <c r="AD47" s="176"/>
      <c r="AE47" s="176"/>
      <c r="AF47" s="176"/>
      <c r="AG47" s="401">
        <f t="shared" si="51"/>
        <v>837.5</v>
      </c>
      <c r="AH47" s="335">
        <v>0</v>
      </c>
      <c r="AI47" s="170">
        <v>0</v>
      </c>
      <c r="AJ47" s="335">
        <f t="shared" si="56"/>
        <v>0</v>
      </c>
      <c r="AK47" s="402">
        <f t="shared" si="52"/>
        <v>0</v>
      </c>
      <c r="AL47" s="324"/>
      <c r="AM47" s="324">
        <f t="shared" si="57"/>
        <v>0</v>
      </c>
      <c r="AN47" s="324">
        <f t="shared" si="57"/>
        <v>0</v>
      </c>
      <c r="AO47" s="324">
        <f t="shared" si="58"/>
        <v>0</v>
      </c>
      <c r="AP47" s="324">
        <f t="shared" si="59"/>
        <v>0</v>
      </c>
      <c r="AQ47" s="324"/>
      <c r="AR47" s="176">
        <f t="shared" si="60"/>
        <v>0</v>
      </c>
      <c r="AS47" s="176">
        <f t="shared" si="61"/>
        <v>0</v>
      </c>
      <c r="AT47" s="176"/>
      <c r="AU47" s="176">
        <f t="shared" si="62"/>
        <v>0</v>
      </c>
      <c r="AV47" s="176"/>
      <c r="AW47" s="355">
        <f t="shared" si="63"/>
        <v>0</v>
      </c>
      <c r="AX47" s="176"/>
      <c r="AY47" s="176"/>
      <c r="AZ47" s="176"/>
      <c r="BA47" s="176"/>
      <c r="BB47" s="174"/>
      <c r="BC47" s="176"/>
      <c r="BD47" s="176"/>
      <c r="BE47" s="176"/>
      <c r="BF47" s="176"/>
      <c r="BG47" s="174"/>
      <c r="BH47" s="176"/>
      <c r="BI47" s="176"/>
      <c r="BJ47" s="176"/>
      <c r="BK47" s="176"/>
      <c r="BL47" s="176"/>
      <c r="BM47" s="346">
        <f t="shared" si="44"/>
        <v>0</v>
      </c>
      <c r="BN47" s="337"/>
      <c r="BO47" s="99"/>
      <c r="BP47" s="102">
        <f t="shared" si="53"/>
        <v>0</v>
      </c>
      <c r="BQ47" s="186"/>
      <c r="BR47" s="186">
        <f t="shared" si="54"/>
        <v>0</v>
      </c>
      <c r="BS47" s="186">
        <f t="shared" si="65"/>
        <v>0</v>
      </c>
      <c r="BT47" s="186">
        <f t="shared" si="49"/>
        <v>-837.5</v>
      </c>
      <c r="BU47" s="554"/>
    </row>
    <row r="48" spans="1:76" s="547" customFormat="1" ht="67.5" customHeight="1" outlineLevel="7" x14ac:dyDescent="0.25">
      <c r="A48" s="8" t="s">
        <v>40</v>
      </c>
      <c r="B48" s="9" t="s">
        <v>120</v>
      </c>
      <c r="C48" s="10" t="s">
        <v>41</v>
      </c>
      <c r="D48" s="68"/>
      <c r="E48" s="68"/>
      <c r="F48" s="176"/>
      <c r="G48" s="176"/>
      <c r="H48" s="176"/>
      <c r="I48" s="176">
        <v>282.89999999999998</v>
      </c>
      <c r="J48" s="176">
        <v>68.2</v>
      </c>
      <c r="K48" s="176">
        <v>-71.599999999999994</v>
      </c>
      <c r="L48" s="176"/>
      <c r="M48" s="174"/>
      <c r="N48" s="174"/>
      <c r="O48" s="176"/>
      <c r="P48" s="174"/>
      <c r="Q48" s="174"/>
      <c r="R48" s="176">
        <f t="shared" si="50"/>
        <v>279.5</v>
      </c>
      <c r="S48" s="324">
        <v>1752.3</v>
      </c>
      <c r="T48" s="324">
        <f t="shared" si="13"/>
        <v>1752.2999999999997</v>
      </c>
      <c r="U48" s="176"/>
      <c r="V48" s="174"/>
      <c r="W48" s="176"/>
      <c r="X48" s="176"/>
      <c r="Y48" s="176"/>
      <c r="Z48" s="176">
        <v>1485.6</v>
      </c>
      <c r="AA48" s="174">
        <v>-116.9</v>
      </c>
      <c r="AB48" s="176">
        <v>383.6</v>
      </c>
      <c r="AC48" s="176"/>
      <c r="AD48" s="176"/>
      <c r="AE48" s="176"/>
      <c r="AF48" s="176"/>
      <c r="AG48" s="401">
        <f t="shared" si="51"/>
        <v>1752.2999999999997</v>
      </c>
      <c r="AH48" s="335">
        <v>285</v>
      </c>
      <c r="AI48" s="170">
        <v>0</v>
      </c>
      <c r="AJ48" s="335">
        <f t="shared" si="56"/>
        <v>0</v>
      </c>
      <c r="AK48" s="402">
        <f t="shared" si="52"/>
        <v>0</v>
      </c>
      <c r="AL48" s="324"/>
      <c r="AM48" s="324">
        <f t="shared" si="57"/>
        <v>0</v>
      </c>
      <c r="AN48" s="324">
        <f t="shared" si="57"/>
        <v>0</v>
      </c>
      <c r="AO48" s="324">
        <f t="shared" si="58"/>
        <v>0</v>
      </c>
      <c r="AP48" s="324">
        <f t="shared" si="59"/>
        <v>0</v>
      </c>
      <c r="AQ48" s="324"/>
      <c r="AR48" s="176">
        <f t="shared" si="60"/>
        <v>0</v>
      </c>
      <c r="AS48" s="176">
        <f t="shared" si="61"/>
        <v>0</v>
      </c>
      <c r="AT48" s="176"/>
      <c r="AU48" s="176">
        <f t="shared" si="62"/>
        <v>0</v>
      </c>
      <c r="AV48" s="176"/>
      <c r="AW48" s="355">
        <f t="shared" si="63"/>
        <v>0</v>
      </c>
      <c r="AX48" s="176"/>
      <c r="AY48" s="176"/>
      <c r="AZ48" s="176"/>
      <c r="BA48" s="176"/>
      <c r="BB48" s="174"/>
      <c r="BC48" s="176"/>
      <c r="BD48" s="176"/>
      <c r="BE48" s="176"/>
      <c r="BF48" s="176"/>
      <c r="BG48" s="174"/>
      <c r="BH48" s="176"/>
      <c r="BI48" s="176"/>
      <c r="BJ48" s="176"/>
      <c r="BK48" s="176"/>
      <c r="BL48" s="176"/>
      <c r="BM48" s="346">
        <f t="shared" si="44"/>
        <v>0</v>
      </c>
      <c r="BN48" s="337"/>
      <c r="BO48" s="99">
        <f>BM48/AH48*100</f>
        <v>0</v>
      </c>
      <c r="BP48" s="102">
        <f t="shared" si="53"/>
        <v>-285</v>
      </c>
      <c r="BQ48" s="186"/>
      <c r="BR48" s="186">
        <f t="shared" si="54"/>
        <v>0</v>
      </c>
      <c r="BS48" s="186">
        <f t="shared" si="65"/>
        <v>0</v>
      </c>
      <c r="BT48" s="186">
        <f t="shared" si="49"/>
        <v>-1752.2999999999997</v>
      </c>
      <c r="BU48" s="554"/>
    </row>
    <row r="49" spans="1:73" s="547" customFormat="1" ht="76.5" customHeight="1" outlineLevel="7" x14ac:dyDescent="0.25">
      <c r="A49" s="8" t="s">
        <v>42</v>
      </c>
      <c r="B49" s="9" t="s">
        <v>44</v>
      </c>
      <c r="C49" s="10" t="s">
        <v>43</v>
      </c>
      <c r="D49" s="68"/>
      <c r="E49" s="68"/>
      <c r="F49" s="174"/>
      <c r="G49" s="174"/>
      <c r="H49" s="176"/>
      <c r="I49" s="174"/>
      <c r="J49" s="176">
        <v>237.2</v>
      </c>
      <c r="K49" s="174"/>
      <c r="L49" s="176"/>
      <c r="M49" s="174"/>
      <c r="N49" s="174"/>
      <c r="O49" s="176"/>
      <c r="P49" s="174"/>
      <c r="Q49" s="174"/>
      <c r="R49" s="176">
        <f t="shared" si="50"/>
        <v>237.2</v>
      </c>
      <c r="S49" s="324">
        <v>337.9</v>
      </c>
      <c r="T49" s="324">
        <f t="shared" si="13"/>
        <v>337.90000000000009</v>
      </c>
      <c r="U49" s="176"/>
      <c r="V49" s="174"/>
      <c r="W49" s="176">
        <f>1113.9-776</f>
        <v>337.90000000000009</v>
      </c>
      <c r="X49" s="176">
        <v>154.19999999999999</v>
      </c>
      <c r="Y49" s="176">
        <v>-154.19999999999999</v>
      </c>
      <c r="Z49" s="176"/>
      <c r="AA49" s="174"/>
      <c r="AB49" s="176"/>
      <c r="AC49" s="176"/>
      <c r="AD49" s="176"/>
      <c r="AE49" s="176"/>
      <c r="AF49" s="176">
        <v>0.2</v>
      </c>
      <c r="AG49" s="401">
        <v>337.9</v>
      </c>
      <c r="AH49" s="335">
        <v>0</v>
      </c>
      <c r="AI49" s="170">
        <v>0</v>
      </c>
      <c r="AJ49" s="335">
        <f t="shared" si="56"/>
        <v>0</v>
      </c>
      <c r="AK49" s="402">
        <f t="shared" si="52"/>
        <v>0</v>
      </c>
      <c r="AL49" s="324"/>
      <c r="AM49" s="324">
        <f t="shared" si="57"/>
        <v>0</v>
      </c>
      <c r="AN49" s="324">
        <f t="shared" si="57"/>
        <v>0</v>
      </c>
      <c r="AO49" s="324">
        <f t="shared" si="58"/>
        <v>0</v>
      </c>
      <c r="AP49" s="324">
        <f t="shared" si="59"/>
        <v>0</v>
      </c>
      <c r="AQ49" s="324"/>
      <c r="AR49" s="176">
        <f t="shared" si="60"/>
        <v>0</v>
      </c>
      <c r="AS49" s="176">
        <f t="shared" si="61"/>
        <v>0</v>
      </c>
      <c r="AT49" s="176"/>
      <c r="AU49" s="176">
        <f t="shared" si="62"/>
        <v>0</v>
      </c>
      <c r="AV49" s="176"/>
      <c r="AW49" s="355">
        <f t="shared" si="63"/>
        <v>0</v>
      </c>
      <c r="AX49" s="176"/>
      <c r="AY49" s="176"/>
      <c r="AZ49" s="176"/>
      <c r="BA49" s="176"/>
      <c r="BB49" s="174"/>
      <c r="BC49" s="176"/>
      <c r="BD49" s="176"/>
      <c r="BE49" s="176"/>
      <c r="BF49" s="176"/>
      <c r="BG49" s="174"/>
      <c r="BH49" s="176"/>
      <c r="BI49" s="176"/>
      <c r="BJ49" s="176"/>
      <c r="BK49" s="176"/>
      <c r="BL49" s="176"/>
      <c r="BM49" s="346">
        <f t="shared" si="44"/>
        <v>0</v>
      </c>
      <c r="BN49" s="337"/>
      <c r="BO49" s="99"/>
      <c r="BP49" s="102">
        <f t="shared" si="53"/>
        <v>0</v>
      </c>
      <c r="BQ49" s="186"/>
      <c r="BR49" s="186">
        <f t="shared" si="54"/>
        <v>0</v>
      </c>
      <c r="BS49" s="186">
        <f t="shared" si="65"/>
        <v>0</v>
      </c>
      <c r="BT49" s="186">
        <f t="shared" si="49"/>
        <v>-337.9</v>
      </c>
      <c r="BU49" s="554"/>
    </row>
    <row r="50" spans="1:73" s="547" customFormat="1" ht="89.25" customHeight="1" outlineLevel="7" x14ac:dyDescent="0.25">
      <c r="A50" s="8" t="s">
        <v>45</v>
      </c>
      <c r="B50" s="9" t="s">
        <v>121</v>
      </c>
      <c r="C50" s="10" t="s">
        <v>46</v>
      </c>
      <c r="D50" s="68"/>
      <c r="E50" s="68"/>
      <c r="F50" s="174"/>
      <c r="G50" s="174"/>
      <c r="H50" s="176"/>
      <c r="I50" s="174"/>
      <c r="J50" s="176">
        <v>651.79999999999995</v>
      </c>
      <c r="K50" s="174"/>
      <c r="L50" s="176"/>
      <c r="M50" s="174"/>
      <c r="N50" s="174"/>
      <c r="O50" s="176"/>
      <c r="P50" s="174"/>
      <c r="Q50" s="174"/>
      <c r="R50" s="176">
        <f t="shared" si="50"/>
        <v>651.79999999999995</v>
      </c>
      <c r="S50" s="324">
        <v>983.3</v>
      </c>
      <c r="T50" s="324">
        <f t="shared" si="13"/>
        <v>983.3</v>
      </c>
      <c r="U50" s="176"/>
      <c r="V50" s="174"/>
      <c r="W50" s="176">
        <v>776</v>
      </c>
      <c r="X50" s="176">
        <v>53.1</v>
      </c>
      <c r="Y50" s="176">
        <v>154.19999999999999</v>
      </c>
      <c r="Z50" s="176"/>
      <c r="AA50" s="174"/>
      <c r="AB50" s="176"/>
      <c r="AC50" s="176"/>
      <c r="AD50" s="176"/>
      <c r="AE50" s="176"/>
      <c r="AF50" s="176"/>
      <c r="AG50" s="401">
        <f t="shared" ref="AG50:AG74" si="66">U50+V50+W50+X50+Y50+Z50+AA50+AB50+AC50+AF50+AE50+AD50</f>
        <v>983.3</v>
      </c>
      <c r="AH50" s="335">
        <v>306.2</v>
      </c>
      <c r="AI50" s="170">
        <v>0</v>
      </c>
      <c r="AJ50" s="335">
        <f t="shared" si="56"/>
        <v>0</v>
      </c>
      <c r="AK50" s="402">
        <f t="shared" si="52"/>
        <v>0</v>
      </c>
      <c r="AL50" s="324"/>
      <c r="AM50" s="324">
        <f t="shared" si="57"/>
        <v>0</v>
      </c>
      <c r="AN50" s="324">
        <f t="shared" si="57"/>
        <v>0</v>
      </c>
      <c r="AO50" s="324">
        <f t="shared" si="58"/>
        <v>0</v>
      </c>
      <c r="AP50" s="324">
        <f t="shared" si="59"/>
        <v>0</v>
      </c>
      <c r="AQ50" s="324"/>
      <c r="AR50" s="176">
        <f t="shared" si="60"/>
        <v>0</v>
      </c>
      <c r="AS50" s="176">
        <f t="shared" si="61"/>
        <v>0</v>
      </c>
      <c r="AT50" s="176"/>
      <c r="AU50" s="176">
        <f t="shared" si="62"/>
        <v>0</v>
      </c>
      <c r="AV50" s="176"/>
      <c r="AW50" s="355">
        <f t="shared" si="63"/>
        <v>0</v>
      </c>
      <c r="AX50" s="176"/>
      <c r="AY50" s="176"/>
      <c r="AZ50" s="176"/>
      <c r="BA50" s="176"/>
      <c r="BB50" s="174"/>
      <c r="BC50" s="176"/>
      <c r="BD50" s="176"/>
      <c r="BE50" s="176"/>
      <c r="BF50" s="176"/>
      <c r="BG50" s="174"/>
      <c r="BH50" s="176"/>
      <c r="BI50" s="176"/>
      <c r="BJ50" s="176"/>
      <c r="BK50" s="176"/>
      <c r="BL50" s="176"/>
      <c r="BM50" s="346">
        <f t="shared" si="44"/>
        <v>0</v>
      </c>
      <c r="BN50" s="337"/>
      <c r="BO50" s="99">
        <f>BM50/AH50*100</f>
        <v>0</v>
      </c>
      <c r="BP50" s="102">
        <f t="shared" si="53"/>
        <v>-306.2</v>
      </c>
      <c r="BQ50" s="186"/>
      <c r="BR50" s="186">
        <f t="shared" si="54"/>
        <v>0</v>
      </c>
      <c r="BS50" s="186">
        <f t="shared" si="65"/>
        <v>0</v>
      </c>
      <c r="BT50" s="186">
        <f t="shared" si="49"/>
        <v>-983.3</v>
      </c>
      <c r="BU50" s="554"/>
    </row>
    <row r="51" spans="1:73" s="547" customFormat="1" ht="46.5" customHeight="1" outlineLevel="7" x14ac:dyDescent="0.25">
      <c r="A51" s="8"/>
      <c r="B51" s="9" t="s">
        <v>226</v>
      </c>
      <c r="C51" s="10" t="s">
        <v>253</v>
      </c>
      <c r="D51" s="68"/>
      <c r="E51" s="68"/>
      <c r="F51" s="174"/>
      <c r="G51" s="176"/>
      <c r="H51" s="176">
        <v>43.6</v>
      </c>
      <c r="I51" s="176">
        <v>100</v>
      </c>
      <c r="J51" s="176"/>
      <c r="K51" s="174"/>
      <c r="L51" s="176"/>
      <c r="M51" s="174"/>
      <c r="N51" s="174"/>
      <c r="O51" s="176"/>
      <c r="P51" s="174"/>
      <c r="Q51" s="174"/>
      <c r="R51" s="176">
        <f t="shared" si="50"/>
        <v>143.6</v>
      </c>
      <c r="S51" s="324">
        <v>32.1</v>
      </c>
      <c r="T51" s="324">
        <f t="shared" si="13"/>
        <v>32.1</v>
      </c>
      <c r="U51" s="176"/>
      <c r="V51" s="174"/>
      <c r="W51" s="176">
        <v>32.1</v>
      </c>
      <c r="X51" s="176"/>
      <c r="Y51" s="176"/>
      <c r="Z51" s="176"/>
      <c r="AA51" s="174"/>
      <c r="AB51" s="176"/>
      <c r="AC51" s="176"/>
      <c r="AD51" s="176"/>
      <c r="AE51" s="176"/>
      <c r="AF51" s="176"/>
      <c r="AG51" s="401">
        <f t="shared" si="66"/>
        <v>32.1</v>
      </c>
      <c r="AH51" s="335">
        <v>0</v>
      </c>
      <c r="AI51" s="170">
        <v>31.6</v>
      </c>
      <c r="AJ51" s="335">
        <f t="shared" si="56"/>
        <v>31.6</v>
      </c>
      <c r="AK51" s="402">
        <f t="shared" si="52"/>
        <v>0</v>
      </c>
      <c r="AL51" s="324"/>
      <c r="AM51" s="324">
        <f t="shared" si="57"/>
        <v>0</v>
      </c>
      <c r="AN51" s="324">
        <f t="shared" si="57"/>
        <v>0</v>
      </c>
      <c r="AO51" s="324">
        <f t="shared" si="58"/>
        <v>31.6</v>
      </c>
      <c r="AP51" s="324">
        <f t="shared" si="59"/>
        <v>31.6</v>
      </c>
      <c r="AQ51" s="324"/>
      <c r="AR51" s="176">
        <f t="shared" si="60"/>
        <v>0</v>
      </c>
      <c r="AS51" s="176">
        <f t="shared" si="61"/>
        <v>0</v>
      </c>
      <c r="AT51" s="176"/>
      <c r="AU51" s="176">
        <f t="shared" si="62"/>
        <v>0</v>
      </c>
      <c r="AV51" s="176"/>
      <c r="AW51" s="355">
        <f t="shared" si="63"/>
        <v>0</v>
      </c>
      <c r="AX51" s="176"/>
      <c r="AY51" s="176"/>
      <c r="AZ51" s="176"/>
      <c r="BA51" s="176"/>
      <c r="BB51" s="174"/>
      <c r="BC51" s="176"/>
      <c r="BD51" s="176">
        <v>31.6</v>
      </c>
      <c r="BE51" s="176"/>
      <c r="BF51" s="176"/>
      <c r="BG51" s="174"/>
      <c r="BH51" s="176"/>
      <c r="BI51" s="176"/>
      <c r="BJ51" s="176"/>
      <c r="BK51" s="176"/>
      <c r="BL51" s="176"/>
      <c r="BM51" s="346">
        <f t="shared" si="44"/>
        <v>31.6</v>
      </c>
      <c r="BN51" s="337"/>
      <c r="BO51" s="99"/>
      <c r="BP51" s="102">
        <f t="shared" si="53"/>
        <v>31.6</v>
      </c>
      <c r="BQ51" s="186">
        <f>BM51/AI51*100</f>
        <v>100</v>
      </c>
      <c r="BR51" s="186">
        <f t="shared" si="54"/>
        <v>0</v>
      </c>
      <c r="BS51" s="186">
        <f t="shared" si="65"/>
        <v>98.442367601246104</v>
      </c>
      <c r="BT51" s="186">
        <f t="shared" si="49"/>
        <v>-0.5</v>
      </c>
      <c r="BU51" s="554"/>
    </row>
    <row r="52" spans="1:73" s="547" customFormat="1" ht="46.5" customHeight="1" outlineLevel="7" x14ac:dyDescent="0.25">
      <c r="A52" s="8"/>
      <c r="B52" s="9" t="s">
        <v>225</v>
      </c>
      <c r="C52" s="10" t="s">
        <v>52</v>
      </c>
      <c r="D52" s="68"/>
      <c r="E52" s="68"/>
      <c r="F52" s="174"/>
      <c r="G52" s="176"/>
      <c r="H52" s="176">
        <v>13.7</v>
      </c>
      <c r="I52" s="176">
        <v>31.6</v>
      </c>
      <c r="J52" s="174"/>
      <c r="K52" s="174"/>
      <c r="L52" s="176"/>
      <c r="M52" s="174"/>
      <c r="N52" s="174"/>
      <c r="O52" s="176"/>
      <c r="P52" s="174"/>
      <c r="Q52" s="174"/>
      <c r="R52" s="176">
        <f t="shared" si="50"/>
        <v>45.3</v>
      </c>
      <c r="S52" s="324">
        <v>10.1</v>
      </c>
      <c r="T52" s="324">
        <f t="shared" si="13"/>
        <v>10.100000000000001</v>
      </c>
      <c r="U52" s="176"/>
      <c r="V52" s="174"/>
      <c r="W52" s="176">
        <f>42.2-32.1</f>
        <v>10.100000000000001</v>
      </c>
      <c r="X52" s="176"/>
      <c r="Y52" s="176"/>
      <c r="Z52" s="176"/>
      <c r="AA52" s="174"/>
      <c r="AB52" s="176"/>
      <c r="AC52" s="176"/>
      <c r="AD52" s="176"/>
      <c r="AE52" s="176"/>
      <c r="AF52" s="176"/>
      <c r="AG52" s="401">
        <f t="shared" si="66"/>
        <v>10.100000000000001</v>
      </c>
      <c r="AH52" s="335">
        <v>11</v>
      </c>
      <c r="AI52" s="170">
        <v>10.5</v>
      </c>
      <c r="AJ52" s="335">
        <f t="shared" si="56"/>
        <v>10.5</v>
      </c>
      <c r="AK52" s="402">
        <f t="shared" si="52"/>
        <v>0</v>
      </c>
      <c r="AL52" s="324"/>
      <c r="AM52" s="324">
        <f t="shared" si="57"/>
        <v>0</v>
      </c>
      <c r="AN52" s="324">
        <f t="shared" si="57"/>
        <v>0</v>
      </c>
      <c r="AO52" s="324">
        <f t="shared" si="58"/>
        <v>10.5</v>
      </c>
      <c r="AP52" s="324">
        <f t="shared" si="59"/>
        <v>10.5</v>
      </c>
      <c r="AQ52" s="324"/>
      <c r="AR52" s="176">
        <f t="shared" si="60"/>
        <v>0</v>
      </c>
      <c r="AS52" s="176">
        <f t="shared" si="61"/>
        <v>0</v>
      </c>
      <c r="AT52" s="176"/>
      <c r="AU52" s="176">
        <f t="shared" si="62"/>
        <v>0</v>
      </c>
      <c r="AV52" s="176"/>
      <c r="AW52" s="355">
        <f t="shared" si="63"/>
        <v>0</v>
      </c>
      <c r="AX52" s="176"/>
      <c r="AY52" s="176"/>
      <c r="AZ52" s="176"/>
      <c r="BA52" s="176"/>
      <c r="BB52" s="174"/>
      <c r="BC52" s="176"/>
      <c r="BD52" s="176">
        <v>10.5</v>
      </c>
      <c r="BE52" s="176"/>
      <c r="BF52" s="176"/>
      <c r="BG52" s="174"/>
      <c r="BH52" s="176"/>
      <c r="BI52" s="176"/>
      <c r="BJ52" s="176"/>
      <c r="BK52" s="176"/>
      <c r="BL52" s="176"/>
      <c r="BM52" s="346">
        <f t="shared" si="44"/>
        <v>10.5</v>
      </c>
      <c r="BN52" s="337"/>
      <c r="BO52" s="99">
        <f>BM52/AH52*100</f>
        <v>95.454545454545453</v>
      </c>
      <c r="BP52" s="102">
        <f t="shared" si="53"/>
        <v>-0.5</v>
      </c>
      <c r="BQ52" s="186">
        <f>BM52/AI52*100</f>
        <v>100</v>
      </c>
      <c r="BR52" s="186">
        <f t="shared" si="54"/>
        <v>0</v>
      </c>
      <c r="BS52" s="186">
        <f t="shared" si="65"/>
        <v>103.96039603960394</v>
      </c>
      <c r="BT52" s="186">
        <f t="shared" si="49"/>
        <v>0.39999999999999858</v>
      </c>
      <c r="BU52" s="554"/>
    </row>
    <row r="53" spans="1:73" s="547" customFormat="1" ht="44.25" customHeight="1" outlineLevel="7" x14ac:dyDescent="0.25">
      <c r="A53" s="8" t="s">
        <v>47</v>
      </c>
      <c r="B53" s="9" t="s">
        <v>123</v>
      </c>
      <c r="C53" s="10" t="s">
        <v>254</v>
      </c>
      <c r="D53" s="68"/>
      <c r="E53" s="68"/>
      <c r="F53" s="176"/>
      <c r="G53" s="176"/>
      <c r="H53" s="176"/>
      <c r="I53" s="176"/>
      <c r="J53" s="176"/>
      <c r="K53" s="176">
        <v>2029.6</v>
      </c>
      <c r="L53" s="176"/>
      <c r="M53" s="174">
        <v>1430.7</v>
      </c>
      <c r="N53" s="176">
        <v>0.1</v>
      </c>
      <c r="O53" s="176"/>
      <c r="P53" s="174"/>
      <c r="Q53" s="174"/>
      <c r="R53" s="176">
        <f t="shared" si="50"/>
        <v>3460.4</v>
      </c>
      <c r="S53" s="324">
        <v>3411.3</v>
      </c>
      <c r="T53" s="324">
        <f t="shared" si="13"/>
        <v>3411.3</v>
      </c>
      <c r="U53" s="285"/>
      <c r="V53" s="415"/>
      <c r="W53" s="285"/>
      <c r="X53" s="285"/>
      <c r="Y53" s="285"/>
      <c r="Z53" s="285"/>
      <c r="AA53" s="415"/>
      <c r="AB53" s="285"/>
      <c r="AC53" s="285"/>
      <c r="AD53" s="285">
        <v>1537.2</v>
      </c>
      <c r="AE53" s="285">
        <v>1874.1</v>
      </c>
      <c r="AF53" s="285"/>
      <c r="AG53" s="416">
        <f t="shared" si="66"/>
        <v>3411.3</v>
      </c>
      <c r="AH53" s="417">
        <v>0</v>
      </c>
      <c r="AI53" s="418">
        <v>5000</v>
      </c>
      <c r="AJ53" s="417">
        <f t="shared" si="56"/>
        <v>1782.5</v>
      </c>
      <c r="AK53" s="419">
        <f t="shared" si="52"/>
        <v>0</v>
      </c>
      <c r="AL53" s="414"/>
      <c r="AM53" s="324">
        <f t="shared" si="57"/>
        <v>0</v>
      </c>
      <c r="AN53" s="324">
        <f t="shared" si="57"/>
        <v>0</v>
      </c>
      <c r="AO53" s="414">
        <f t="shared" si="58"/>
        <v>0</v>
      </c>
      <c r="AP53" s="324">
        <f t="shared" si="59"/>
        <v>0</v>
      </c>
      <c r="AQ53" s="414"/>
      <c r="AR53" s="176">
        <f t="shared" si="60"/>
        <v>0</v>
      </c>
      <c r="AS53" s="285">
        <f t="shared" si="61"/>
        <v>1782.5</v>
      </c>
      <c r="AT53" s="285">
        <f>BG53</f>
        <v>1782.5</v>
      </c>
      <c r="AU53" s="176">
        <f t="shared" si="62"/>
        <v>0</v>
      </c>
      <c r="AV53" s="285"/>
      <c r="AW53" s="420">
        <f t="shared" si="63"/>
        <v>0</v>
      </c>
      <c r="AX53" s="285"/>
      <c r="AY53" s="285"/>
      <c r="AZ53" s="285"/>
      <c r="BA53" s="285"/>
      <c r="BB53" s="174"/>
      <c r="BC53" s="176"/>
      <c r="BD53" s="176"/>
      <c r="BE53" s="176"/>
      <c r="BF53" s="176"/>
      <c r="BG53" s="176">
        <v>1782.5</v>
      </c>
      <c r="BH53" s="176"/>
      <c r="BI53" s="176">
        <v>3217.5</v>
      </c>
      <c r="BJ53" s="176"/>
      <c r="BK53" s="176"/>
      <c r="BL53" s="176"/>
      <c r="BM53" s="346">
        <f t="shared" si="44"/>
        <v>5000</v>
      </c>
      <c r="BN53" s="337"/>
      <c r="BO53" s="99"/>
      <c r="BP53" s="102">
        <f t="shared" si="53"/>
        <v>5000</v>
      </c>
      <c r="BQ53" s="186">
        <f>BM53/AI53*100</f>
        <v>100</v>
      </c>
      <c r="BR53" s="186">
        <f t="shared" si="54"/>
        <v>0</v>
      </c>
      <c r="BS53" s="186">
        <f t="shared" si="65"/>
        <v>146.57168821270483</v>
      </c>
      <c r="BT53" s="186">
        <f t="shared" si="49"/>
        <v>1588.6999999999998</v>
      </c>
      <c r="BU53" s="554"/>
    </row>
    <row r="54" spans="1:73" s="547" customFormat="1" ht="45.75" outlineLevel="7" thickBot="1" x14ac:dyDescent="0.3">
      <c r="A54" s="8" t="s">
        <v>48</v>
      </c>
      <c r="B54" s="408" t="s">
        <v>122</v>
      </c>
      <c r="C54" s="409" t="s">
        <v>49</v>
      </c>
      <c r="D54" s="410"/>
      <c r="E54" s="410"/>
      <c r="F54" s="411"/>
      <c r="G54" s="411"/>
      <c r="H54" s="411"/>
      <c r="I54" s="411"/>
      <c r="J54" s="411"/>
      <c r="K54" s="411">
        <v>84.6</v>
      </c>
      <c r="L54" s="411"/>
      <c r="M54" s="412">
        <v>59.6</v>
      </c>
      <c r="N54" s="412"/>
      <c r="O54" s="411"/>
      <c r="P54" s="412"/>
      <c r="Q54" s="412"/>
      <c r="R54" s="411">
        <f t="shared" si="50"/>
        <v>144.19999999999999</v>
      </c>
      <c r="S54" s="413">
        <v>142.1</v>
      </c>
      <c r="T54" s="324">
        <f t="shared" si="13"/>
        <v>142.09999999999991</v>
      </c>
      <c r="U54" s="422"/>
      <c r="V54" s="423"/>
      <c r="W54" s="422"/>
      <c r="X54" s="422"/>
      <c r="Y54" s="422"/>
      <c r="Z54" s="422"/>
      <c r="AA54" s="423"/>
      <c r="AB54" s="422"/>
      <c r="AC54" s="422"/>
      <c r="AD54" s="422">
        <v>2016.3</v>
      </c>
      <c r="AE54" s="422">
        <v>-1874.2</v>
      </c>
      <c r="AF54" s="422"/>
      <c r="AG54" s="424">
        <f t="shared" si="66"/>
        <v>142.09999999999991</v>
      </c>
      <c r="AH54" s="425">
        <v>0</v>
      </c>
      <c r="AI54" s="426">
        <v>208.3</v>
      </c>
      <c r="AJ54" s="425">
        <f t="shared" si="56"/>
        <v>74.3</v>
      </c>
      <c r="AK54" s="427">
        <f t="shared" si="52"/>
        <v>0</v>
      </c>
      <c r="AL54" s="421"/>
      <c r="AM54" s="324">
        <f t="shared" si="57"/>
        <v>0</v>
      </c>
      <c r="AN54" s="324">
        <f t="shared" si="57"/>
        <v>0</v>
      </c>
      <c r="AO54" s="421">
        <f t="shared" si="58"/>
        <v>0</v>
      </c>
      <c r="AP54" s="324">
        <f t="shared" si="59"/>
        <v>0</v>
      </c>
      <c r="AQ54" s="421"/>
      <c r="AR54" s="176">
        <f t="shared" si="60"/>
        <v>0</v>
      </c>
      <c r="AS54" s="422">
        <f t="shared" si="61"/>
        <v>74.3</v>
      </c>
      <c r="AT54" s="448">
        <f>BG54</f>
        <v>74.3</v>
      </c>
      <c r="AU54" s="176">
        <f t="shared" si="62"/>
        <v>0</v>
      </c>
      <c r="AV54" s="449"/>
      <c r="AW54" s="450">
        <f t="shared" si="63"/>
        <v>0</v>
      </c>
      <c r="AX54" s="449"/>
      <c r="AY54" s="449"/>
      <c r="AZ54" s="449"/>
      <c r="BA54" s="449"/>
      <c r="BB54" s="235"/>
      <c r="BC54" s="176"/>
      <c r="BD54" s="176"/>
      <c r="BE54" s="176"/>
      <c r="BF54" s="176"/>
      <c r="BG54" s="176">
        <v>74.3</v>
      </c>
      <c r="BH54" s="261"/>
      <c r="BI54" s="261">
        <v>134</v>
      </c>
      <c r="BJ54" s="261"/>
      <c r="BK54" s="261"/>
      <c r="BL54" s="261"/>
      <c r="BM54" s="346">
        <f t="shared" si="44"/>
        <v>208.3</v>
      </c>
      <c r="BN54" s="337"/>
      <c r="BO54" s="99"/>
      <c r="BP54" s="102">
        <f t="shared" si="53"/>
        <v>208.3</v>
      </c>
      <c r="BQ54" s="186">
        <f>BM54/AI54*100</f>
        <v>100</v>
      </c>
      <c r="BR54" s="186">
        <f t="shared" si="54"/>
        <v>0</v>
      </c>
      <c r="BS54" s="186">
        <f t="shared" si="65"/>
        <v>146.58691062631959</v>
      </c>
      <c r="BT54" s="186">
        <f t="shared" si="49"/>
        <v>66.200000000000102</v>
      </c>
      <c r="BU54" s="554"/>
    </row>
    <row r="55" spans="1:73" s="547" customFormat="1" ht="48.75" customHeight="1" outlineLevel="7" x14ac:dyDescent="0.25">
      <c r="A55" s="8"/>
      <c r="B55" s="177" t="s">
        <v>383</v>
      </c>
      <c r="C55" s="247" t="s">
        <v>348</v>
      </c>
      <c r="D55" s="248"/>
      <c r="E55" s="248"/>
      <c r="F55" s="253"/>
      <c r="G55" s="253"/>
      <c r="H55" s="253">
        <v>2302.9</v>
      </c>
      <c r="I55" s="253">
        <v>148.19999999999999</v>
      </c>
      <c r="J55" s="253">
        <f>3300.9+0.1</f>
        <v>3301</v>
      </c>
      <c r="K55" s="253">
        <f>14276.2+3973.3</f>
        <v>18249.5</v>
      </c>
      <c r="L55" s="253">
        <f>5214.8+10215</f>
        <v>15429.8</v>
      </c>
      <c r="M55" s="252">
        <f>1646.2+27931.3</f>
        <v>29577.5</v>
      </c>
      <c r="N55" s="253">
        <f>17210-1646.1</f>
        <v>15563.9</v>
      </c>
      <c r="O55" s="253">
        <f>341.5+594</f>
        <v>935.5</v>
      </c>
      <c r="P55" s="253">
        <v>18885.8</v>
      </c>
      <c r="Q55" s="253">
        <f>782.2+3639</f>
        <v>4421.2</v>
      </c>
      <c r="R55" s="253">
        <f t="shared" si="50"/>
        <v>108815.29999999999</v>
      </c>
      <c r="S55" s="330">
        <v>18588.8</v>
      </c>
      <c r="T55" s="324">
        <f t="shared" si="13"/>
        <v>13736.3</v>
      </c>
      <c r="U55" s="253"/>
      <c r="V55" s="253"/>
      <c r="W55" s="253"/>
      <c r="X55" s="253">
        <v>2727.8</v>
      </c>
      <c r="Y55" s="253">
        <v>0.1</v>
      </c>
      <c r="Z55" s="253">
        <v>159</v>
      </c>
      <c r="AA55" s="253">
        <v>178.2</v>
      </c>
      <c r="AB55" s="253">
        <v>5756.7</v>
      </c>
      <c r="AC55" s="253"/>
      <c r="AD55" s="253">
        <v>1468.8</v>
      </c>
      <c r="AE55" s="253">
        <v>3445.7</v>
      </c>
      <c r="AF55" s="253">
        <v>3810.9</v>
      </c>
      <c r="AG55" s="403">
        <f t="shared" si="66"/>
        <v>17547.199999999997</v>
      </c>
      <c r="AH55" s="404">
        <v>0</v>
      </c>
      <c r="AI55" s="405">
        <v>0</v>
      </c>
      <c r="AJ55" s="404">
        <f t="shared" si="56"/>
        <v>0</v>
      </c>
      <c r="AK55" s="406">
        <f t="shared" si="52"/>
        <v>0</v>
      </c>
      <c r="AL55" s="330"/>
      <c r="AM55" s="324">
        <f t="shared" si="57"/>
        <v>0</v>
      </c>
      <c r="AN55" s="324">
        <f t="shared" si="57"/>
        <v>0</v>
      </c>
      <c r="AO55" s="330">
        <f t="shared" si="58"/>
        <v>0</v>
      </c>
      <c r="AP55" s="324">
        <f t="shared" si="59"/>
        <v>0</v>
      </c>
      <c r="AQ55" s="330"/>
      <c r="AR55" s="176">
        <f t="shared" si="60"/>
        <v>0</v>
      </c>
      <c r="AS55" s="253">
        <f t="shared" si="61"/>
        <v>0</v>
      </c>
      <c r="AT55" s="253"/>
      <c r="AU55" s="176">
        <f t="shared" si="62"/>
        <v>0</v>
      </c>
      <c r="AV55" s="253"/>
      <c r="AW55" s="407">
        <f t="shared" si="63"/>
        <v>0</v>
      </c>
      <c r="AX55" s="253"/>
      <c r="AY55" s="253"/>
      <c r="AZ55" s="253"/>
      <c r="BA55" s="253"/>
      <c r="BB55" s="253"/>
      <c r="BC55" s="253"/>
      <c r="BD55" s="253"/>
      <c r="BE55" s="253"/>
      <c r="BF55" s="253"/>
      <c r="BG55" s="253"/>
      <c r="BH55" s="253"/>
      <c r="BI55" s="253"/>
      <c r="BJ55" s="253"/>
      <c r="BK55" s="253"/>
      <c r="BL55" s="253"/>
      <c r="BM55" s="346">
        <f t="shared" si="44"/>
        <v>0</v>
      </c>
      <c r="BN55" s="337"/>
      <c r="BO55" s="99"/>
      <c r="BP55" s="102">
        <f t="shared" si="53"/>
        <v>0</v>
      </c>
      <c r="BQ55" s="186"/>
      <c r="BR55" s="186">
        <f t="shared" si="54"/>
        <v>0</v>
      </c>
      <c r="BS55" s="186">
        <f t="shared" si="65"/>
        <v>0</v>
      </c>
      <c r="BT55" s="186">
        <f t="shared" si="49"/>
        <v>-17547.199999999997</v>
      </c>
      <c r="BU55" s="554"/>
    </row>
    <row r="56" spans="1:73" s="547" customFormat="1" ht="75" customHeight="1" outlineLevel="7" x14ac:dyDescent="0.25">
      <c r="A56" s="8"/>
      <c r="B56" s="340" t="s">
        <v>462</v>
      </c>
      <c r="C56" s="10" t="s">
        <v>463</v>
      </c>
      <c r="D56" s="68"/>
      <c r="E56" s="68"/>
      <c r="F56" s="176"/>
      <c r="G56" s="176"/>
      <c r="H56" s="176"/>
      <c r="I56" s="176"/>
      <c r="J56" s="176"/>
      <c r="K56" s="176"/>
      <c r="L56" s="176"/>
      <c r="M56" s="174"/>
      <c r="N56" s="176"/>
      <c r="O56" s="176"/>
      <c r="P56" s="176"/>
      <c r="Q56" s="174"/>
      <c r="R56" s="176"/>
      <c r="S56" s="324">
        <v>2881.2</v>
      </c>
      <c r="T56" s="324">
        <f t="shared" si="13"/>
        <v>2881.2</v>
      </c>
      <c r="U56" s="176"/>
      <c r="V56" s="176"/>
      <c r="W56" s="176"/>
      <c r="X56" s="176">
        <v>2825</v>
      </c>
      <c r="Y56" s="176">
        <v>56.1</v>
      </c>
      <c r="Z56" s="176">
        <v>0.1</v>
      </c>
      <c r="AA56" s="176"/>
      <c r="AB56" s="176"/>
      <c r="AC56" s="176"/>
      <c r="AD56" s="176"/>
      <c r="AE56" s="176"/>
      <c r="AF56" s="176"/>
      <c r="AG56" s="401">
        <f t="shared" si="66"/>
        <v>2881.2</v>
      </c>
      <c r="AH56" s="335">
        <v>0</v>
      </c>
      <c r="AI56" s="170">
        <v>0</v>
      </c>
      <c r="AJ56" s="335">
        <f t="shared" si="56"/>
        <v>0</v>
      </c>
      <c r="AK56" s="402">
        <f t="shared" si="52"/>
        <v>0</v>
      </c>
      <c r="AL56" s="324"/>
      <c r="AM56" s="324">
        <f t="shared" si="57"/>
        <v>0</v>
      </c>
      <c r="AN56" s="324">
        <f t="shared" si="57"/>
        <v>0</v>
      </c>
      <c r="AO56" s="324">
        <f t="shared" si="58"/>
        <v>0</v>
      </c>
      <c r="AP56" s="324">
        <f t="shared" si="59"/>
        <v>0</v>
      </c>
      <c r="AQ56" s="324"/>
      <c r="AR56" s="176">
        <f t="shared" si="60"/>
        <v>0</v>
      </c>
      <c r="AS56" s="176">
        <f t="shared" si="61"/>
        <v>0</v>
      </c>
      <c r="AT56" s="176"/>
      <c r="AU56" s="176">
        <f t="shared" si="62"/>
        <v>0</v>
      </c>
      <c r="AV56" s="176"/>
      <c r="AW56" s="355">
        <f t="shared" si="63"/>
        <v>0</v>
      </c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346">
        <f t="shared" si="44"/>
        <v>0</v>
      </c>
      <c r="BN56" s="337"/>
      <c r="BO56" s="99"/>
      <c r="BP56" s="102">
        <f t="shared" si="53"/>
        <v>0</v>
      </c>
      <c r="BQ56" s="186"/>
      <c r="BR56" s="186">
        <f t="shared" si="54"/>
        <v>0</v>
      </c>
      <c r="BS56" s="186">
        <f t="shared" si="65"/>
        <v>0</v>
      </c>
      <c r="BT56" s="186">
        <f t="shared" si="49"/>
        <v>-2881.2</v>
      </c>
      <c r="BU56" s="554"/>
    </row>
    <row r="57" spans="1:73" s="547" customFormat="1" ht="75" outlineLevel="7" x14ac:dyDescent="0.25">
      <c r="A57" s="8"/>
      <c r="B57" s="9" t="s">
        <v>446</v>
      </c>
      <c r="C57" s="10" t="s">
        <v>301</v>
      </c>
      <c r="D57" s="68"/>
      <c r="E57" s="68"/>
      <c r="F57" s="176"/>
      <c r="G57" s="176"/>
      <c r="H57" s="176"/>
      <c r="I57" s="176"/>
      <c r="J57" s="176"/>
      <c r="K57" s="176"/>
      <c r="L57" s="176"/>
      <c r="M57" s="174"/>
      <c r="N57" s="176"/>
      <c r="O57" s="176"/>
      <c r="P57" s="176"/>
      <c r="Q57" s="174"/>
      <c r="R57" s="176"/>
      <c r="S57" s="324">
        <v>600</v>
      </c>
      <c r="T57" s="324">
        <f t="shared" si="13"/>
        <v>600</v>
      </c>
      <c r="U57" s="176"/>
      <c r="V57" s="176"/>
      <c r="W57" s="176"/>
      <c r="X57" s="176"/>
      <c r="Y57" s="176"/>
      <c r="Z57" s="176"/>
      <c r="AA57" s="176">
        <v>279.60000000000002</v>
      </c>
      <c r="AB57" s="176"/>
      <c r="AC57" s="176"/>
      <c r="AD57" s="176">
        <v>-0.1</v>
      </c>
      <c r="AE57" s="176">
        <v>320.5</v>
      </c>
      <c r="AF57" s="176"/>
      <c r="AG57" s="401">
        <f t="shared" si="66"/>
        <v>600</v>
      </c>
      <c r="AH57" s="335">
        <v>1200</v>
      </c>
      <c r="AI57" s="170">
        <v>400.1</v>
      </c>
      <c r="AJ57" s="335">
        <f t="shared" si="56"/>
        <v>0</v>
      </c>
      <c r="AK57" s="402">
        <f t="shared" si="52"/>
        <v>0</v>
      </c>
      <c r="AL57" s="324"/>
      <c r="AM57" s="324">
        <f t="shared" si="57"/>
        <v>0</v>
      </c>
      <c r="AN57" s="324">
        <f t="shared" si="57"/>
        <v>0</v>
      </c>
      <c r="AO57" s="324">
        <f t="shared" si="58"/>
        <v>0</v>
      </c>
      <c r="AP57" s="324">
        <f t="shared" si="59"/>
        <v>0</v>
      </c>
      <c r="AQ57" s="324"/>
      <c r="AR57" s="176">
        <f t="shared" si="60"/>
        <v>0</v>
      </c>
      <c r="AS57" s="176">
        <f t="shared" si="61"/>
        <v>0</v>
      </c>
      <c r="AT57" s="176"/>
      <c r="AU57" s="176">
        <f t="shared" si="62"/>
        <v>0</v>
      </c>
      <c r="AV57" s="176"/>
      <c r="AW57" s="355">
        <f t="shared" si="63"/>
        <v>0</v>
      </c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>
        <v>400.1</v>
      </c>
      <c r="BJ57" s="176"/>
      <c r="BK57" s="176"/>
      <c r="BL57" s="176"/>
      <c r="BM57" s="346">
        <f t="shared" si="44"/>
        <v>400.1</v>
      </c>
      <c r="BN57" s="337"/>
      <c r="BO57" s="99">
        <f>BM57/AH57*100</f>
        <v>33.341666666666669</v>
      </c>
      <c r="BP57" s="102">
        <f t="shared" si="53"/>
        <v>-799.9</v>
      </c>
      <c r="BQ57" s="186">
        <f>BM57/AI57*100</f>
        <v>100</v>
      </c>
      <c r="BR57" s="186">
        <f t="shared" si="54"/>
        <v>0</v>
      </c>
      <c r="BS57" s="186">
        <f t="shared" si="65"/>
        <v>66.683333333333337</v>
      </c>
      <c r="BT57" s="186">
        <f t="shared" si="49"/>
        <v>-199.89999999999998</v>
      </c>
      <c r="BU57" s="554"/>
    </row>
    <row r="58" spans="1:73" s="547" customFormat="1" ht="30" outlineLevel="7" x14ac:dyDescent="0.25">
      <c r="A58" s="8" t="s">
        <v>50</v>
      </c>
      <c r="B58" s="180" t="s">
        <v>124</v>
      </c>
      <c r="C58" s="10" t="s">
        <v>51</v>
      </c>
      <c r="D58" s="68"/>
      <c r="E58" s="68"/>
      <c r="F58" s="176">
        <v>117.4</v>
      </c>
      <c r="G58" s="176">
        <v>117.5</v>
      </c>
      <c r="H58" s="176">
        <v>205.5</v>
      </c>
      <c r="I58" s="176">
        <v>117.4</v>
      </c>
      <c r="J58" s="176">
        <v>117.4</v>
      </c>
      <c r="K58" s="176">
        <v>250.5</v>
      </c>
      <c r="L58" s="176">
        <v>162.30000000000001</v>
      </c>
      <c r="M58" s="174">
        <v>162.4</v>
      </c>
      <c r="N58" s="176">
        <v>250.4</v>
      </c>
      <c r="O58" s="176">
        <v>162.4</v>
      </c>
      <c r="P58" s="176">
        <v>162.4</v>
      </c>
      <c r="Q58" s="176">
        <v>250.4</v>
      </c>
      <c r="R58" s="176">
        <f>F58+G58+H58+I58+J58+K58+L58+M58+N58+O58+P58+Q58</f>
        <v>2076.0000000000005</v>
      </c>
      <c r="S58" s="324">
        <v>2385.6</v>
      </c>
      <c r="T58" s="324">
        <f t="shared" si="13"/>
        <v>2140.7999999999997</v>
      </c>
      <c r="U58" s="176">
        <v>202.4</v>
      </c>
      <c r="V58" s="176">
        <v>164.9</v>
      </c>
      <c r="W58" s="176">
        <v>202.5</v>
      </c>
      <c r="X58" s="176">
        <v>196.4</v>
      </c>
      <c r="Y58" s="176">
        <v>196.4</v>
      </c>
      <c r="Z58" s="176">
        <v>196.4</v>
      </c>
      <c r="AA58" s="176">
        <v>189.1</v>
      </c>
      <c r="AB58" s="176">
        <v>189</v>
      </c>
      <c r="AC58" s="176">
        <v>189.1</v>
      </c>
      <c r="AD58" s="176">
        <v>207.3</v>
      </c>
      <c r="AE58" s="176">
        <v>207.3</v>
      </c>
      <c r="AF58" s="176">
        <v>244.8</v>
      </c>
      <c r="AG58" s="401">
        <f t="shared" si="66"/>
        <v>2385.6</v>
      </c>
      <c r="AH58" s="335">
        <v>2600.6</v>
      </c>
      <c r="AI58" s="170">
        <v>2600.6</v>
      </c>
      <c r="AJ58" s="335">
        <f t="shared" si="56"/>
        <v>2058.8000000000002</v>
      </c>
      <c r="AK58" s="402">
        <f t="shared" si="52"/>
        <v>411.70000000000005</v>
      </c>
      <c r="AL58" s="324"/>
      <c r="AM58" s="324">
        <f t="shared" si="57"/>
        <v>205.9</v>
      </c>
      <c r="AN58" s="324">
        <f t="shared" si="57"/>
        <v>205.8</v>
      </c>
      <c r="AO58" s="324">
        <f t="shared" si="58"/>
        <v>617.70000000000005</v>
      </c>
      <c r="AP58" s="324">
        <f t="shared" si="59"/>
        <v>205.9</v>
      </c>
      <c r="AQ58" s="176">
        <f>BE58</f>
        <v>205.9</v>
      </c>
      <c r="AR58" s="176">
        <f t="shared" si="60"/>
        <v>205.9</v>
      </c>
      <c r="AS58" s="176">
        <f t="shared" si="61"/>
        <v>411.8</v>
      </c>
      <c r="AT58" s="176">
        <f>BG58</f>
        <v>205.9</v>
      </c>
      <c r="AU58" s="176">
        <f t="shared" si="62"/>
        <v>205.9</v>
      </c>
      <c r="AV58" s="176"/>
      <c r="AW58" s="355">
        <f t="shared" si="63"/>
        <v>617.6</v>
      </c>
      <c r="AX58" s="176">
        <f>BJ58</f>
        <v>205.8</v>
      </c>
      <c r="AY58" s="176">
        <f>BK58</f>
        <v>205.9</v>
      </c>
      <c r="AZ58" s="176">
        <f>BL58</f>
        <v>205.9</v>
      </c>
      <c r="BA58" s="176">
        <v>205.9</v>
      </c>
      <c r="BB58" s="176">
        <v>205.9</v>
      </c>
      <c r="BC58" s="176">
        <v>205.8</v>
      </c>
      <c r="BD58" s="176">
        <v>205.9</v>
      </c>
      <c r="BE58" s="176">
        <v>205.9</v>
      </c>
      <c r="BF58" s="176">
        <v>205.9</v>
      </c>
      <c r="BG58" s="176">
        <v>205.9</v>
      </c>
      <c r="BH58" s="176">
        <v>205.9</v>
      </c>
      <c r="BI58" s="176">
        <v>205.9</v>
      </c>
      <c r="BJ58" s="176">
        <v>205.8</v>
      </c>
      <c r="BK58" s="176">
        <v>205.9</v>
      </c>
      <c r="BL58" s="176">
        <v>205.9</v>
      </c>
      <c r="BM58" s="346">
        <f t="shared" si="44"/>
        <v>2470.6000000000008</v>
      </c>
      <c r="BN58" s="337"/>
      <c r="BO58" s="99">
        <f>BM58/AH58*100</f>
        <v>95.001153579943121</v>
      </c>
      <c r="BP58" s="102">
        <f t="shared" si="53"/>
        <v>-129.99999999999909</v>
      </c>
      <c r="BQ58" s="186">
        <f>BM58/AI58*100</f>
        <v>95.001153579943121</v>
      </c>
      <c r="BR58" s="186">
        <f t="shared" si="54"/>
        <v>-129.99999999999909</v>
      </c>
      <c r="BS58" s="186">
        <f t="shared" si="65"/>
        <v>103.56304493628441</v>
      </c>
      <c r="BT58" s="186">
        <f t="shared" si="49"/>
        <v>85.000000000000909</v>
      </c>
      <c r="BU58" s="554"/>
    </row>
    <row r="59" spans="1:73" s="19" customFormat="1" ht="50.25" customHeight="1" outlineLevel="2" x14ac:dyDescent="0.25">
      <c r="A59" s="18"/>
      <c r="B59" s="9" t="s">
        <v>256</v>
      </c>
      <c r="C59" s="20" t="s">
        <v>255</v>
      </c>
      <c r="D59" s="171"/>
      <c r="E59" s="171"/>
      <c r="F59" s="176"/>
      <c r="G59" s="176"/>
      <c r="H59" s="176"/>
      <c r="I59" s="176"/>
      <c r="J59" s="176"/>
      <c r="K59" s="176"/>
      <c r="L59" s="176"/>
      <c r="M59" s="174"/>
      <c r="N59" s="176"/>
      <c r="O59" s="176"/>
      <c r="P59" s="176"/>
      <c r="Q59" s="176">
        <v>1104.5999999999999</v>
      </c>
      <c r="R59" s="176">
        <f>F59+G59+H59+I59+J59+K59+L59+M59+N59+O59+P59+Q59</f>
        <v>1104.5999999999999</v>
      </c>
      <c r="S59" s="324">
        <v>1036.3</v>
      </c>
      <c r="T59" s="324">
        <f t="shared" si="13"/>
        <v>0</v>
      </c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>
        <v>1036.0999999999999</v>
      </c>
      <c r="AG59" s="401">
        <f t="shared" si="66"/>
        <v>1036.0999999999999</v>
      </c>
      <c r="AH59" s="335">
        <v>1067.4000000000001</v>
      </c>
      <c r="AI59" s="170">
        <v>0</v>
      </c>
      <c r="AJ59" s="335">
        <f t="shared" si="56"/>
        <v>0</v>
      </c>
      <c r="AK59" s="402">
        <f t="shared" si="52"/>
        <v>0</v>
      </c>
      <c r="AL59" s="324"/>
      <c r="AM59" s="324">
        <f t="shared" si="57"/>
        <v>0</v>
      </c>
      <c r="AN59" s="324">
        <f t="shared" si="57"/>
        <v>0</v>
      </c>
      <c r="AO59" s="324">
        <f t="shared" si="58"/>
        <v>0</v>
      </c>
      <c r="AP59" s="324">
        <f t="shared" si="59"/>
        <v>0</v>
      </c>
      <c r="AQ59" s="324"/>
      <c r="AR59" s="176">
        <f t="shared" si="60"/>
        <v>0</v>
      </c>
      <c r="AS59" s="176">
        <f t="shared" si="61"/>
        <v>0</v>
      </c>
      <c r="AT59" s="176">
        <f t="shared" ref="AT59:AT61" si="67">BG59</f>
        <v>0</v>
      </c>
      <c r="AU59" s="176">
        <f t="shared" si="62"/>
        <v>0</v>
      </c>
      <c r="AV59" s="176"/>
      <c r="AW59" s="355">
        <f t="shared" si="63"/>
        <v>0</v>
      </c>
      <c r="AX59" s="176">
        <f t="shared" ref="AX59:AX63" si="68">BJ59</f>
        <v>0</v>
      </c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346">
        <f t="shared" si="44"/>
        <v>0</v>
      </c>
      <c r="BN59" s="337"/>
      <c r="BO59" s="99">
        <f>BM59/AH59*100</f>
        <v>0</v>
      </c>
      <c r="BP59" s="102">
        <f t="shared" si="53"/>
        <v>-1067.4000000000001</v>
      </c>
      <c r="BQ59" s="186"/>
      <c r="BR59" s="186">
        <f t="shared" si="54"/>
        <v>0</v>
      </c>
      <c r="BS59" s="186">
        <f t="shared" si="65"/>
        <v>0</v>
      </c>
      <c r="BT59" s="186">
        <f t="shared" si="49"/>
        <v>-1036.0999999999999</v>
      </c>
    </row>
    <row r="60" spans="1:73" s="547" customFormat="1" ht="30" outlineLevel="7" x14ac:dyDescent="0.25">
      <c r="A60" s="8" t="s">
        <v>50</v>
      </c>
      <c r="B60" s="9" t="s">
        <v>371</v>
      </c>
      <c r="C60" s="10" t="s">
        <v>349</v>
      </c>
      <c r="D60" s="68"/>
      <c r="E60" s="68"/>
      <c r="F60" s="176"/>
      <c r="G60" s="176"/>
      <c r="H60" s="176"/>
      <c r="I60" s="176"/>
      <c r="J60" s="176"/>
      <c r="K60" s="176"/>
      <c r="L60" s="176"/>
      <c r="M60" s="174">
        <v>4620.3</v>
      </c>
      <c r="N60" s="176">
        <v>539.6</v>
      </c>
      <c r="O60" s="176">
        <v>404.9</v>
      </c>
      <c r="P60" s="176">
        <f>1510.4+5700.9</f>
        <v>7211.2999999999993</v>
      </c>
      <c r="Q60" s="176">
        <v>570</v>
      </c>
      <c r="R60" s="176">
        <f>F60+G60+H60+I60+J60+K60+L60+M60+N60+O60+P60+Q60</f>
        <v>13346.099999999999</v>
      </c>
      <c r="S60" s="324">
        <v>90371.8</v>
      </c>
      <c r="T60" s="324">
        <f t="shared" si="13"/>
        <v>54322.899999999994</v>
      </c>
      <c r="U60" s="176"/>
      <c r="V60" s="176"/>
      <c r="W60" s="176"/>
      <c r="X60" s="176">
        <v>26362.5</v>
      </c>
      <c r="Y60" s="176"/>
      <c r="Z60" s="176"/>
      <c r="AA60" s="176"/>
      <c r="AB60" s="176"/>
      <c r="AC60" s="176">
        <v>14351</v>
      </c>
      <c r="AD60" s="176">
        <v>1348.1</v>
      </c>
      <c r="AE60" s="176">
        <v>12261.3</v>
      </c>
      <c r="AF60" s="176">
        <v>11762</v>
      </c>
      <c r="AG60" s="401">
        <f t="shared" si="66"/>
        <v>66084.900000000009</v>
      </c>
      <c r="AH60" s="335">
        <v>13695.9</v>
      </c>
      <c r="AI60" s="170">
        <v>52878.7</v>
      </c>
      <c r="AJ60" s="335">
        <f t="shared" si="56"/>
        <v>46322.099999999991</v>
      </c>
      <c r="AK60" s="402">
        <f t="shared" si="52"/>
        <v>0</v>
      </c>
      <c r="AL60" s="324"/>
      <c r="AM60" s="324">
        <f t="shared" si="57"/>
        <v>0</v>
      </c>
      <c r="AN60" s="324">
        <f t="shared" si="57"/>
        <v>0</v>
      </c>
      <c r="AO60" s="324">
        <f t="shared" si="58"/>
        <v>6888.2</v>
      </c>
      <c r="AP60" s="324">
        <f t="shared" si="59"/>
        <v>4537.8999999999996</v>
      </c>
      <c r="AQ60" s="324"/>
      <c r="AR60" s="176">
        <f t="shared" si="60"/>
        <v>2350.3000000000002</v>
      </c>
      <c r="AS60" s="176">
        <f t="shared" si="61"/>
        <v>5064</v>
      </c>
      <c r="AT60" s="176">
        <f t="shared" si="67"/>
        <v>2671.7</v>
      </c>
      <c r="AU60" s="176">
        <f t="shared" si="62"/>
        <v>2392.3000000000002</v>
      </c>
      <c r="AV60" s="176"/>
      <c r="AW60" s="355">
        <f t="shared" si="63"/>
        <v>34369.899999999994</v>
      </c>
      <c r="AX60" s="176">
        <f t="shared" si="68"/>
        <v>11309.3</v>
      </c>
      <c r="AY60" s="176">
        <f>BK60</f>
        <v>2259.5</v>
      </c>
      <c r="AZ60" s="176">
        <f>BL60</f>
        <v>20801.099999999999</v>
      </c>
      <c r="BA60" s="176"/>
      <c r="BB60" s="176"/>
      <c r="BC60" s="176"/>
      <c r="BD60" s="176">
        <v>4537.8999999999996</v>
      </c>
      <c r="BE60" s="176"/>
      <c r="BF60" s="176">
        <v>2350.3000000000002</v>
      </c>
      <c r="BG60" s="176">
        <v>2671.7</v>
      </c>
      <c r="BH60" s="176">
        <v>2392.3000000000002</v>
      </c>
      <c r="BI60" s="176">
        <v>5162.8</v>
      </c>
      <c r="BJ60" s="176">
        <v>11309.3</v>
      </c>
      <c r="BK60" s="176">
        <v>2259.5</v>
      </c>
      <c r="BL60" s="176">
        <f>15313.9+5119.1+368.1</f>
        <v>20801.099999999999</v>
      </c>
      <c r="BM60" s="346">
        <f t="shared" si="44"/>
        <v>51484.899999999994</v>
      </c>
      <c r="BN60" s="337"/>
      <c r="BO60" s="99">
        <f>BM60/AH60*100</f>
        <v>375.91468979767666</v>
      </c>
      <c r="BP60" s="102">
        <f t="shared" si="53"/>
        <v>37788.999999999993</v>
      </c>
      <c r="BQ60" s="186">
        <f>BM60/AI60*100</f>
        <v>97.36415607796711</v>
      </c>
      <c r="BR60" s="186">
        <f t="shared" si="54"/>
        <v>-1393.8000000000029</v>
      </c>
      <c r="BS60" s="186">
        <f t="shared" si="65"/>
        <v>77.90720724401487</v>
      </c>
      <c r="BT60" s="186">
        <f t="shared" si="49"/>
        <v>-14600.000000000015</v>
      </c>
      <c r="BU60" s="554"/>
    </row>
    <row r="61" spans="1:73" s="547" customFormat="1" ht="45" outlineLevel="7" x14ac:dyDescent="0.25">
      <c r="A61" s="8"/>
      <c r="B61" s="9" t="s">
        <v>651</v>
      </c>
      <c r="C61" s="10" t="s">
        <v>434</v>
      </c>
      <c r="D61" s="68"/>
      <c r="E61" s="68"/>
      <c r="F61" s="176"/>
      <c r="G61" s="176"/>
      <c r="H61" s="176"/>
      <c r="I61" s="176"/>
      <c r="J61" s="176"/>
      <c r="K61" s="176"/>
      <c r="L61" s="176"/>
      <c r="M61" s="174"/>
      <c r="N61" s="176"/>
      <c r="O61" s="176"/>
      <c r="P61" s="176"/>
      <c r="Q61" s="174"/>
      <c r="R61" s="176"/>
      <c r="S61" s="324">
        <v>13700.7</v>
      </c>
      <c r="T61" s="324">
        <f t="shared" si="13"/>
        <v>6751.6</v>
      </c>
      <c r="U61" s="176"/>
      <c r="V61" s="176"/>
      <c r="W61" s="176"/>
      <c r="X61" s="176"/>
      <c r="Y61" s="176"/>
      <c r="Z61" s="176"/>
      <c r="AA61" s="176"/>
      <c r="AB61" s="176"/>
      <c r="AC61" s="176"/>
      <c r="AD61" s="176">
        <v>6751.6</v>
      </c>
      <c r="AE61" s="176"/>
      <c r="AF61" s="176">
        <v>6394.2</v>
      </c>
      <c r="AG61" s="401">
        <f t="shared" si="66"/>
        <v>13145.8</v>
      </c>
      <c r="AH61" s="335"/>
      <c r="AI61" s="170">
        <v>2626</v>
      </c>
      <c r="AJ61" s="335">
        <f t="shared" si="56"/>
        <v>0</v>
      </c>
      <c r="AK61" s="402">
        <f t="shared" si="52"/>
        <v>0</v>
      </c>
      <c r="AL61" s="324"/>
      <c r="AM61" s="324">
        <f t="shared" si="57"/>
        <v>0</v>
      </c>
      <c r="AN61" s="324">
        <f t="shared" si="57"/>
        <v>0</v>
      </c>
      <c r="AO61" s="324">
        <f t="shared" si="58"/>
        <v>0</v>
      </c>
      <c r="AP61" s="324">
        <f t="shared" si="59"/>
        <v>0</v>
      </c>
      <c r="AQ61" s="324"/>
      <c r="AR61" s="176">
        <f t="shared" si="60"/>
        <v>0</v>
      </c>
      <c r="AS61" s="176">
        <f t="shared" si="61"/>
        <v>0</v>
      </c>
      <c r="AT61" s="176">
        <f t="shared" si="67"/>
        <v>0</v>
      </c>
      <c r="AU61" s="176">
        <f t="shared" si="62"/>
        <v>0</v>
      </c>
      <c r="AV61" s="176"/>
      <c r="AW61" s="355">
        <f t="shared" si="63"/>
        <v>0</v>
      </c>
      <c r="AX61" s="176">
        <f t="shared" si="68"/>
        <v>0</v>
      </c>
      <c r="AY61" s="176"/>
      <c r="AZ61" s="176"/>
      <c r="BA61" s="176"/>
      <c r="BB61" s="176"/>
      <c r="BC61" s="176"/>
      <c r="BD61" s="176"/>
      <c r="BE61" s="176"/>
      <c r="BF61" s="176"/>
      <c r="BG61" s="176"/>
      <c r="BH61" s="176"/>
      <c r="BI61" s="176"/>
      <c r="BJ61" s="176"/>
      <c r="BK61" s="176"/>
      <c r="BL61" s="176">
        <v>2282.9</v>
      </c>
      <c r="BM61" s="346">
        <f t="shared" si="44"/>
        <v>2282.9</v>
      </c>
      <c r="BN61" s="337"/>
      <c r="BO61" s="99"/>
      <c r="BP61" s="102">
        <f t="shared" si="53"/>
        <v>2282.9</v>
      </c>
      <c r="BQ61" s="186">
        <f>BM61/AI61*100</f>
        <v>86.934501142421936</v>
      </c>
      <c r="BR61" s="186">
        <f t="shared" si="54"/>
        <v>-343.09999999999991</v>
      </c>
      <c r="BS61" s="186">
        <f t="shared" si="65"/>
        <v>17.366002829801154</v>
      </c>
      <c r="BT61" s="186">
        <f t="shared" si="49"/>
        <v>-10862.9</v>
      </c>
      <c r="BU61" s="554"/>
    </row>
    <row r="62" spans="1:73" s="547" customFormat="1" ht="42.75" customHeight="1" outlineLevel="7" x14ac:dyDescent="0.25">
      <c r="A62" s="8" t="s">
        <v>36</v>
      </c>
      <c r="B62" s="9" t="s">
        <v>116</v>
      </c>
      <c r="C62" s="10" t="s">
        <v>38</v>
      </c>
      <c r="D62" s="68"/>
      <c r="E62" s="68"/>
      <c r="F62" s="176"/>
      <c r="G62" s="176">
        <v>580.1</v>
      </c>
      <c r="H62" s="176"/>
      <c r="I62" s="176">
        <v>580.1</v>
      </c>
      <c r="J62" s="176"/>
      <c r="K62" s="176"/>
      <c r="L62" s="176">
        <v>580.1</v>
      </c>
      <c r="M62" s="174"/>
      <c r="N62" s="176">
        <v>-0.1</v>
      </c>
      <c r="O62" s="176">
        <v>580.1</v>
      </c>
      <c r="P62" s="176"/>
      <c r="Q62" s="174"/>
      <c r="R62" s="176">
        <f>F62+G62+H62+I62+J62+K62+L62+M62+N62+O62+P62+Q62</f>
        <v>2320.3000000000002</v>
      </c>
      <c r="S62" s="324">
        <v>2344.5</v>
      </c>
      <c r="T62" s="324">
        <f t="shared" si="13"/>
        <v>2344.5</v>
      </c>
      <c r="U62" s="176"/>
      <c r="V62" s="176"/>
      <c r="W62" s="176">
        <v>781.5</v>
      </c>
      <c r="X62" s="176">
        <v>781.5</v>
      </c>
      <c r="Y62" s="176"/>
      <c r="Z62" s="176"/>
      <c r="AA62" s="176"/>
      <c r="AB62" s="176"/>
      <c r="AC62" s="176"/>
      <c r="AD62" s="176">
        <v>781.5</v>
      </c>
      <c r="AE62" s="176"/>
      <c r="AF62" s="176">
        <v>-827.9</v>
      </c>
      <c r="AG62" s="401">
        <f t="shared" si="66"/>
        <v>1516.6</v>
      </c>
      <c r="AH62" s="335">
        <v>2202.3000000000002</v>
      </c>
      <c r="AI62" s="170">
        <v>2202.1999999999998</v>
      </c>
      <c r="AJ62" s="335">
        <f t="shared" si="56"/>
        <v>2202.1999999999998</v>
      </c>
      <c r="AK62" s="402">
        <f t="shared" si="52"/>
        <v>697.4</v>
      </c>
      <c r="AL62" s="324"/>
      <c r="AM62" s="324">
        <f t="shared" si="57"/>
        <v>0</v>
      </c>
      <c r="AN62" s="324">
        <f t="shared" si="57"/>
        <v>697.4</v>
      </c>
      <c r="AO62" s="324">
        <f t="shared" si="58"/>
        <v>697.3</v>
      </c>
      <c r="AP62" s="324">
        <f t="shared" si="59"/>
        <v>697.3</v>
      </c>
      <c r="AQ62" s="324"/>
      <c r="AR62" s="176">
        <f t="shared" si="60"/>
        <v>0</v>
      </c>
      <c r="AS62" s="176">
        <f t="shared" si="61"/>
        <v>0</v>
      </c>
      <c r="AT62" s="176"/>
      <c r="AU62" s="176">
        <f t="shared" si="62"/>
        <v>0</v>
      </c>
      <c r="AV62" s="176"/>
      <c r="AW62" s="355">
        <f t="shared" si="63"/>
        <v>807.5</v>
      </c>
      <c r="AX62" s="176">
        <f t="shared" si="68"/>
        <v>697.5</v>
      </c>
      <c r="AY62" s="176">
        <f>BK62</f>
        <v>110</v>
      </c>
      <c r="AZ62" s="176"/>
      <c r="BA62" s="176"/>
      <c r="BB62" s="176"/>
      <c r="BC62" s="176">
        <v>697.4</v>
      </c>
      <c r="BD62" s="176">
        <v>697.3</v>
      </c>
      <c r="BE62" s="176"/>
      <c r="BF62" s="176"/>
      <c r="BG62" s="176"/>
      <c r="BH62" s="176"/>
      <c r="BI62" s="176"/>
      <c r="BJ62" s="176">
        <v>697.5</v>
      </c>
      <c r="BK62" s="176">
        <v>110</v>
      </c>
      <c r="BL62" s="176"/>
      <c r="BM62" s="346">
        <f t="shared" si="44"/>
        <v>2202.1999999999998</v>
      </c>
      <c r="BN62" s="337"/>
      <c r="BO62" s="99">
        <f t="shared" ref="BO62:BO67" si="69">BM62/AH62*100</f>
        <v>99.995459292557769</v>
      </c>
      <c r="BP62" s="102">
        <f t="shared" si="53"/>
        <v>-0.1000000000003638</v>
      </c>
      <c r="BQ62" s="186">
        <f>BM62/AI62*100</f>
        <v>100</v>
      </c>
      <c r="BR62" s="186">
        <f t="shared" si="54"/>
        <v>0</v>
      </c>
      <c r="BS62" s="186">
        <f t="shared" si="65"/>
        <v>145.20638269814057</v>
      </c>
      <c r="BT62" s="186">
        <f t="shared" si="49"/>
        <v>685.59999999999991</v>
      </c>
      <c r="BU62" s="554"/>
    </row>
    <row r="63" spans="1:73" s="547" customFormat="1" ht="67.5" customHeight="1" outlineLevel="7" x14ac:dyDescent="0.25">
      <c r="A63" s="8"/>
      <c r="B63" s="313" t="s">
        <v>447</v>
      </c>
      <c r="C63" s="10" t="s">
        <v>69</v>
      </c>
      <c r="D63" s="68"/>
      <c r="E63" s="68"/>
      <c r="F63" s="176"/>
      <c r="G63" s="176"/>
      <c r="H63" s="176"/>
      <c r="I63" s="176"/>
      <c r="J63" s="176"/>
      <c r="K63" s="176"/>
      <c r="L63" s="176"/>
      <c r="M63" s="174"/>
      <c r="N63" s="176"/>
      <c r="O63" s="176"/>
      <c r="P63" s="176"/>
      <c r="Q63" s="174"/>
      <c r="R63" s="176"/>
      <c r="S63" s="324">
        <v>3196.1</v>
      </c>
      <c r="T63" s="324">
        <f t="shared" si="13"/>
        <v>3105.6000000000004</v>
      </c>
      <c r="U63" s="176"/>
      <c r="V63" s="176"/>
      <c r="W63" s="176">
        <v>1035.2</v>
      </c>
      <c r="X63" s="176">
        <v>1035.2</v>
      </c>
      <c r="Y63" s="176"/>
      <c r="Z63" s="176"/>
      <c r="AA63" s="176"/>
      <c r="AB63" s="176"/>
      <c r="AC63" s="176"/>
      <c r="AD63" s="176">
        <v>1035.2</v>
      </c>
      <c r="AE63" s="176"/>
      <c r="AF63" s="176">
        <v>90.5</v>
      </c>
      <c r="AG63" s="401">
        <f t="shared" si="66"/>
        <v>3196.1000000000004</v>
      </c>
      <c r="AH63" s="335">
        <v>3448.7</v>
      </c>
      <c r="AI63" s="170">
        <v>3898.7</v>
      </c>
      <c r="AJ63" s="335">
        <f t="shared" si="56"/>
        <v>3898.7</v>
      </c>
      <c r="AK63" s="402">
        <f t="shared" si="52"/>
        <v>1149.5999999999999</v>
      </c>
      <c r="AL63" s="324"/>
      <c r="AM63" s="324">
        <f t="shared" si="57"/>
        <v>0</v>
      </c>
      <c r="AN63" s="324">
        <f t="shared" si="57"/>
        <v>1149.5999999999999</v>
      </c>
      <c r="AO63" s="324">
        <f t="shared" si="58"/>
        <v>1149.5</v>
      </c>
      <c r="AP63" s="324">
        <f t="shared" si="59"/>
        <v>1149.5</v>
      </c>
      <c r="AQ63" s="324"/>
      <c r="AR63" s="176">
        <f t="shared" si="60"/>
        <v>0</v>
      </c>
      <c r="AS63" s="176">
        <f t="shared" si="61"/>
        <v>0</v>
      </c>
      <c r="AT63" s="176"/>
      <c r="AU63" s="176">
        <f t="shared" si="62"/>
        <v>0</v>
      </c>
      <c r="AV63" s="176"/>
      <c r="AW63" s="355">
        <f t="shared" si="63"/>
        <v>1599.6</v>
      </c>
      <c r="AX63" s="176">
        <f t="shared" si="68"/>
        <v>1149.5999999999999</v>
      </c>
      <c r="AY63" s="176">
        <f>BK63</f>
        <v>450</v>
      </c>
      <c r="AZ63" s="176"/>
      <c r="BA63" s="176"/>
      <c r="BB63" s="176"/>
      <c r="BC63" s="176">
        <v>1149.5999999999999</v>
      </c>
      <c r="BD63" s="176">
        <v>1149.5</v>
      </c>
      <c r="BE63" s="176"/>
      <c r="BF63" s="176"/>
      <c r="BG63" s="176"/>
      <c r="BH63" s="176"/>
      <c r="BI63" s="176"/>
      <c r="BJ63" s="176">
        <v>1149.5999999999999</v>
      </c>
      <c r="BK63" s="176">
        <v>450</v>
      </c>
      <c r="BL63" s="176"/>
      <c r="BM63" s="346">
        <f t="shared" si="44"/>
        <v>3898.7</v>
      </c>
      <c r="BN63" s="337"/>
      <c r="BO63" s="99">
        <f t="shared" si="69"/>
        <v>113.04839504740917</v>
      </c>
      <c r="BP63" s="102">
        <f t="shared" si="53"/>
        <v>450</v>
      </c>
      <c r="BQ63" s="186">
        <f>BM63/AI63*100</f>
        <v>100</v>
      </c>
      <c r="BR63" s="186">
        <f t="shared" si="54"/>
        <v>0</v>
      </c>
      <c r="BS63" s="186">
        <f t="shared" si="65"/>
        <v>121.98304183223301</v>
      </c>
      <c r="BT63" s="186">
        <f t="shared" si="49"/>
        <v>702.59999999999945</v>
      </c>
      <c r="BU63" s="554"/>
    </row>
    <row r="64" spans="1:73" s="547" customFormat="1" ht="30" outlineLevel="7" x14ac:dyDescent="0.25">
      <c r="A64" s="8" t="s">
        <v>35</v>
      </c>
      <c r="B64" s="226" t="s">
        <v>258</v>
      </c>
      <c r="C64" s="10" t="s">
        <v>257</v>
      </c>
      <c r="D64" s="68"/>
      <c r="E64" s="68"/>
      <c r="F64" s="176"/>
      <c r="G64" s="176"/>
      <c r="H64" s="176"/>
      <c r="I64" s="176"/>
      <c r="J64" s="176">
        <v>588.20000000000005</v>
      </c>
      <c r="K64" s="176">
        <v>759.8</v>
      </c>
      <c r="L64" s="176">
        <v>3145.5</v>
      </c>
      <c r="M64" s="174"/>
      <c r="N64" s="176"/>
      <c r="O64" s="176"/>
      <c r="P64" s="176"/>
      <c r="Q64" s="174"/>
      <c r="R64" s="176">
        <f>F64+G64+H64+I64+J64+K64+L64+M64+N64+O64+P64+Q64</f>
        <v>4493.5</v>
      </c>
      <c r="S64" s="324">
        <v>6817.2</v>
      </c>
      <c r="T64" s="324">
        <f t="shared" si="13"/>
        <v>6804.2000000000007</v>
      </c>
      <c r="U64" s="176"/>
      <c r="V64" s="176"/>
      <c r="W64" s="176"/>
      <c r="X64" s="176"/>
      <c r="Y64" s="176"/>
      <c r="Z64" s="176"/>
      <c r="AA64" s="176">
        <v>2034.4</v>
      </c>
      <c r="AB64" s="176"/>
      <c r="AC64" s="176"/>
      <c r="AD64" s="176">
        <v>4769.8</v>
      </c>
      <c r="AE64" s="176"/>
      <c r="AF64" s="176"/>
      <c r="AG64" s="401">
        <f t="shared" si="66"/>
        <v>6804.2000000000007</v>
      </c>
      <c r="AH64" s="335">
        <v>2810.6</v>
      </c>
      <c r="AI64" s="170">
        <v>0</v>
      </c>
      <c r="AJ64" s="335">
        <f t="shared" si="56"/>
        <v>0</v>
      </c>
      <c r="AK64" s="402">
        <f t="shared" si="52"/>
        <v>0</v>
      </c>
      <c r="AL64" s="324"/>
      <c r="AM64" s="324">
        <f t="shared" si="57"/>
        <v>0</v>
      </c>
      <c r="AN64" s="324">
        <f t="shared" si="57"/>
        <v>0</v>
      </c>
      <c r="AO64" s="324">
        <f t="shared" si="58"/>
        <v>0</v>
      </c>
      <c r="AP64" s="324">
        <f t="shared" si="59"/>
        <v>0</v>
      </c>
      <c r="AQ64" s="324"/>
      <c r="AR64" s="176">
        <f t="shared" si="60"/>
        <v>0</v>
      </c>
      <c r="AS64" s="176">
        <f t="shared" si="61"/>
        <v>0</v>
      </c>
      <c r="AT64" s="176"/>
      <c r="AU64" s="176">
        <f t="shared" si="62"/>
        <v>0</v>
      </c>
      <c r="AV64" s="176"/>
      <c r="AW64" s="355">
        <f t="shared" si="63"/>
        <v>0</v>
      </c>
      <c r="AX64" s="176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346">
        <f t="shared" si="44"/>
        <v>0</v>
      </c>
      <c r="BN64" s="337"/>
      <c r="BO64" s="99">
        <f t="shared" si="69"/>
        <v>0</v>
      </c>
      <c r="BP64" s="102">
        <f t="shared" si="53"/>
        <v>-2810.6</v>
      </c>
      <c r="BQ64" s="186"/>
      <c r="BR64" s="186">
        <f t="shared" si="54"/>
        <v>0</v>
      </c>
      <c r="BS64" s="186">
        <f t="shared" si="65"/>
        <v>0</v>
      </c>
      <c r="BT64" s="186">
        <f t="shared" si="49"/>
        <v>-6804.2000000000007</v>
      </c>
      <c r="BU64" s="554"/>
    </row>
    <row r="65" spans="1:74" s="547" customFormat="1" ht="30" outlineLevel="7" x14ac:dyDescent="0.25">
      <c r="A65" s="8"/>
      <c r="B65" s="9" t="s">
        <v>281</v>
      </c>
      <c r="C65" s="10" t="s">
        <v>350</v>
      </c>
      <c r="D65" s="68"/>
      <c r="E65" s="68"/>
      <c r="F65" s="176"/>
      <c r="G65" s="176"/>
      <c r="H65" s="176"/>
      <c r="I65" s="176"/>
      <c r="J65" s="176"/>
      <c r="K65" s="176"/>
      <c r="L65" s="176"/>
      <c r="M65" s="174"/>
      <c r="N65" s="176"/>
      <c r="O65" s="176"/>
      <c r="P65" s="176"/>
      <c r="Q65" s="176">
        <v>1818</v>
      </c>
      <c r="R65" s="176">
        <f>F65+G65+H65+I65+J65+K65+L65+M65+N65+O65+P65+Q65</f>
        <v>1818</v>
      </c>
      <c r="S65" s="324">
        <v>2070.6999999999998</v>
      </c>
      <c r="T65" s="324">
        <f t="shared" si="13"/>
        <v>2058.6999999999998</v>
      </c>
      <c r="U65" s="176"/>
      <c r="V65" s="176"/>
      <c r="W65" s="176"/>
      <c r="X65" s="176"/>
      <c r="Y65" s="176"/>
      <c r="Z65" s="176"/>
      <c r="AA65" s="176">
        <v>766.9</v>
      </c>
      <c r="AB65" s="176"/>
      <c r="AC65" s="176"/>
      <c r="AD65" s="176"/>
      <c r="AE65" s="176">
        <v>1291.8</v>
      </c>
      <c r="AF65" s="176">
        <v>0.1</v>
      </c>
      <c r="AG65" s="401">
        <f t="shared" si="66"/>
        <v>2058.8000000000002</v>
      </c>
      <c r="AH65" s="335">
        <v>2048.3000000000002</v>
      </c>
      <c r="AI65" s="170">
        <v>2048.3000000000002</v>
      </c>
      <c r="AJ65" s="335">
        <f t="shared" si="56"/>
        <v>2048.3000000000002</v>
      </c>
      <c r="AK65" s="402">
        <f t="shared" si="52"/>
        <v>0</v>
      </c>
      <c r="AL65" s="324"/>
      <c r="AM65" s="324">
        <f t="shared" si="57"/>
        <v>0</v>
      </c>
      <c r="AN65" s="324">
        <f t="shared" si="57"/>
        <v>0</v>
      </c>
      <c r="AO65" s="324">
        <f t="shared" si="58"/>
        <v>1210.2</v>
      </c>
      <c r="AP65" s="324">
        <f t="shared" si="59"/>
        <v>0</v>
      </c>
      <c r="AQ65" s="324"/>
      <c r="AR65" s="176">
        <f t="shared" si="60"/>
        <v>1210.2</v>
      </c>
      <c r="AS65" s="176">
        <f t="shared" si="61"/>
        <v>838.1</v>
      </c>
      <c r="AT65" s="176">
        <f>BG65</f>
        <v>838.1</v>
      </c>
      <c r="AU65" s="176">
        <f t="shared" si="62"/>
        <v>0</v>
      </c>
      <c r="AV65" s="176"/>
      <c r="AW65" s="355">
        <f t="shared" si="63"/>
        <v>0</v>
      </c>
      <c r="AX65" s="176"/>
      <c r="AY65" s="176"/>
      <c r="AZ65" s="176"/>
      <c r="BA65" s="176"/>
      <c r="BB65" s="176"/>
      <c r="BC65" s="176"/>
      <c r="BD65" s="176"/>
      <c r="BE65" s="176"/>
      <c r="BF65" s="176">
        <v>1210.2</v>
      </c>
      <c r="BG65" s="176">
        <v>838.1</v>
      </c>
      <c r="BH65" s="176"/>
      <c r="BI65" s="176"/>
      <c r="BJ65" s="176"/>
      <c r="BK65" s="176"/>
      <c r="BL65" s="176"/>
      <c r="BM65" s="346">
        <f t="shared" si="44"/>
        <v>2048.3000000000002</v>
      </c>
      <c r="BN65" s="337"/>
      <c r="BO65" s="99">
        <f t="shared" si="69"/>
        <v>100</v>
      </c>
      <c r="BP65" s="102">
        <f t="shared" si="53"/>
        <v>0</v>
      </c>
      <c r="BQ65" s="186">
        <f>BM65/AI65*100</f>
        <v>100</v>
      </c>
      <c r="BR65" s="186">
        <f t="shared" si="54"/>
        <v>0</v>
      </c>
      <c r="BS65" s="186">
        <f t="shared" si="65"/>
        <v>99.489994171361957</v>
      </c>
      <c r="BT65" s="186">
        <f t="shared" si="49"/>
        <v>-10.5</v>
      </c>
      <c r="BU65" s="554"/>
    </row>
    <row r="66" spans="1:74" ht="43.5" customHeight="1" x14ac:dyDescent="0.25">
      <c r="B66" s="182" t="s">
        <v>268</v>
      </c>
      <c r="C66" s="10" t="s">
        <v>283</v>
      </c>
      <c r="F66" s="176"/>
      <c r="G66" s="176"/>
      <c r="H66" s="176"/>
      <c r="I66" s="176"/>
      <c r="J66" s="176"/>
      <c r="K66" s="176"/>
      <c r="L66" s="176">
        <v>1215.4000000000001</v>
      </c>
      <c r="M66" s="174"/>
      <c r="N66" s="176"/>
      <c r="O66" s="176">
        <v>588.70000000000005</v>
      </c>
      <c r="P66" s="176">
        <v>673.2</v>
      </c>
      <c r="Q66" s="176">
        <v>106.3</v>
      </c>
      <c r="R66" s="176">
        <f>F66+G66+H66+I66+J66+K66+L66+M66+N66+O66+P66+Q66</f>
        <v>2583.6000000000004</v>
      </c>
      <c r="S66" s="324">
        <v>2395.8000000000002</v>
      </c>
      <c r="T66" s="324">
        <f t="shared" si="13"/>
        <v>2392.1000000000004</v>
      </c>
      <c r="U66" s="176"/>
      <c r="V66" s="176"/>
      <c r="W66" s="176"/>
      <c r="X66" s="176"/>
      <c r="Y66" s="176"/>
      <c r="Z66" s="176">
        <v>1167.4000000000001</v>
      </c>
      <c r="AA66" s="176"/>
      <c r="AB66" s="176"/>
      <c r="AC66" s="176">
        <v>1224.7</v>
      </c>
      <c r="AD66" s="176"/>
      <c r="AE66" s="176"/>
      <c r="AF66" s="176"/>
      <c r="AG66" s="401">
        <f t="shared" si="66"/>
        <v>2392.1000000000004</v>
      </c>
      <c r="AH66" s="335">
        <v>2228.9</v>
      </c>
      <c r="AI66" s="170">
        <v>0</v>
      </c>
      <c r="AJ66" s="335">
        <f t="shared" si="56"/>
        <v>0</v>
      </c>
      <c r="AK66" s="402">
        <f t="shared" si="52"/>
        <v>0</v>
      </c>
      <c r="AL66" s="324"/>
      <c r="AM66" s="324">
        <f t="shared" si="57"/>
        <v>0</v>
      </c>
      <c r="AN66" s="324">
        <f t="shared" si="57"/>
        <v>0</v>
      </c>
      <c r="AO66" s="324">
        <f t="shared" si="58"/>
        <v>0</v>
      </c>
      <c r="AP66" s="324">
        <f t="shared" si="59"/>
        <v>0</v>
      </c>
      <c r="AQ66" s="324"/>
      <c r="AR66" s="176">
        <f t="shared" si="60"/>
        <v>0</v>
      </c>
      <c r="AS66" s="176">
        <f t="shared" si="61"/>
        <v>0</v>
      </c>
      <c r="AT66" s="176"/>
      <c r="AU66" s="176">
        <f t="shared" si="62"/>
        <v>0</v>
      </c>
      <c r="AV66" s="176"/>
      <c r="AW66" s="355">
        <f t="shared" si="63"/>
        <v>0</v>
      </c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346">
        <f t="shared" si="44"/>
        <v>0</v>
      </c>
      <c r="BN66" s="337"/>
      <c r="BO66" s="99">
        <f t="shared" si="69"/>
        <v>0</v>
      </c>
      <c r="BP66" s="102">
        <f t="shared" si="53"/>
        <v>-2228.9</v>
      </c>
      <c r="BQ66" s="186"/>
      <c r="BR66" s="186">
        <f t="shared" si="54"/>
        <v>0</v>
      </c>
      <c r="BS66" s="186">
        <f t="shared" si="65"/>
        <v>0</v>
      </c>
      <c r="BT66" s="186">
        <f t="shared" si="49"/>
        <v>-2392.1000000000004</v>
      </c>
    </row>
    <row r="67" spans="1:74" ht="63.75" customHeight="1" x14ac:dyDescent="0.25">
      <c r="B67" s="429" t="s">
        <v>564</v>
      </c>
      <c r="C67" s="179" t="s">
        <v>565</v>
      </c>
      <c r="F67" s="176"/>
      <c r="G67" s="176"/>
      <c r="H67" s="176"/>
      <c r="I67" s="176"/>
      <c r="J67" s="176"/>
      <c r="K67" s="176"/>
      <c r="L67" s="176"/>
      <c r="M67" s="174"/>
      <c r="N67" s="176"/>
      <c r="O67" s="176"/>
      <c r="P67" s="176"/>
      <c r="Q67" s="176"/>
      <c r="R67" s="176"/>
      <c r="S67" s="324"/>
      <c r="T67" s="324">
        <f t="shared" si="13"/>
        <v>0</v>
      </c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401"/>
      <c r="AH67" s="335">
        <v>4600</v>
      </c>
      <c r="AI67" s="170">
        <v>4600</v>
      </c>
      <c r="AJ67" s="335"/>
      <c r="AK67" s="402"/>
      <c r="AL67" s="324"/>
      <c r="AM67" s="324">
        <f t="shared" si="57"/>
        <v>0</v>
      </c>
      <c r="AN67" s="324">
        <f t="shared" si="57"/>
        <v>0</v>
      </c>
      <c r="AO67" s="324"/>
      <c r="AP67" s="324">
        <f t="shared" si="59"/>
        <v>0</v>
      </c>
      <c r="AQ67" s="176">
        <f>BE67</f>
        <v>2012.7</v>
      </c>
      <c r="AR67" s="176">
        <f t="shared" si="60"/>
        <v>2587.3000000000002</v>
      </c>
      <c r="AS67" s="176"/>
      <c r="AT67" s="176"/>
      <c r="AU67" s="176">
        <f t="shared" si="62"/>
        <v>0</v>
      </c>
      <c r="AV67" s="176"/>
      <c r="AW67" s="355"/>
      <c r="AX67" s="176"/>
      <c r="AY67" s="176"/>
      <c r="AZ67" s="176"/>
      <c r="BA67" s="176"/>
      <c r="BB67" s="176"/>
      <c r="BC67" s="176"/>
      <c r="BD67" s="176"/>
      <c r="BE67" s="176">
        <v>2012.7</v>
      </c>
      <c r="BF67" s="176">
        <v>2587.3000000000002</v>
      </c>
      <c r="BG67" s="176"/>
      <c r="BH67" s="176"/>
      <c r="BI67" s="176"/>
      <c r="BJ67" s="176"/>
      <c r="BK67" s="176"/>
      <c r="BL67" s="176"/>
      <c r="BM67" s="346">
        <f t="shared" si="44"/>
        <v>4600</v>
      </c>
      <c r="BN67" s="337"/>
      <c r="BO67" s="99">
        <f t="shared" si="69"/>
        <v>100</v>
      </c>
      <c r="BP67" s="102">
        <f t="shared" si="53"/>
        <v>0</v>
      </c>
      <c r="BQ67" s="186">
        <f>BM67/AI67*100</f>
        <v>100</v>
      </c>
      <c r="BR67" s="186">
        <f t="shared" si="54"/>
        <v>0</v>
      </c>
      <c r="BS67" s="186"/>
      <c r="BT67" s="186">
        <f t="shared" si="49"/>
        <v>4600</v>
      </c>
    </row>
    <row r="68" spans="1:74" ht="79.5" customHeight="1" x14ac:dyDescent="0.25">
      <c r="B68" s="428" t="s">
        <v>464</v>
      </c>
      <c r="C68" s="10"/>
      <c r="F68" s="176"/>
      <c r="G68" s="176"/>
      <c r="H68" s="176"/>
      <c r="I68" s="176"/>
      <c r="J68" s="176"/>
      <c r="K68" s="176"/>
      <c r="L68" s="176"/>
      <c r="M68" s="174"/>
      <c r="N68" s="176"/>
      <c r="O68" s="176"/>
      <c r="P68" s="176"/>
      <c r="Q68" s="176"/>
      <c r="R68" s="176"/>
      <c r="S68" s="324">
        <v>35187.199999999997</v>
      </c>
      <c r="T68" s="324">
        <f t="shared" si="13"/>
        <v>21913.769999999997</v>
      </c>
      <c r="U68" s="176"/>
      <c r="V68" s="176"/>
      <c r="W68" s="176"/>
      <c r="X68" s="176"/>
      <c r="Y68" s="176"/>
      <c r="Z68" s="176">
        <v>7037.4</v>
      </c>
      <c r="AA68" s="176"/>
      <c r="AB68" s="176"/>
      <c r="AC68" s="176">
        <v>6069.7</v>
      </c>
      <c r="AD68" s="176">
        <v>8806.67</v>
      </c>
      <c r="AE68" s="176"/>
      <c r="AF68" s="176">
        <v>13273.4</v>
      </c>
      <c r="AG68" s="401">
        <v>35187.199999999997</v>
      </c>
      <c r="AH68" s="335">
        <v>0</v>
      </c>
      <c r="AI68" s="99">
        <v>0</v>
      </c>
      <c r="AJ68" s="335">
        <f t="shared" si="56"/>
        <v>0</v>
      </c>
      <c r="AK68" s="402">
        <f t="shared" si="52"/>
        <v>0</v>
      </c>
      <c r="AL68" s="324"/>
      <c r="AM68" s="324">
        <f t="shared" si="57"/>
        <v>0</v>
      </c>
      <c r="AN68" s="324">
        <f t="shared" si="57"/>
        <v>0</v>
      </c>
      <c r="AO68" s="324">
        <f t="shared" si="58"/>
        <v>0</v>
      </c>
      <c r="AP68" s="324">
        <f t="shared" si="59"/>
        <v>0</v>
      </c>
      <c r="AQ68" s="324"/>
      <c r="AR68" s="176">
        <f t="shared" si="60"/>
        <v>0</v>
      </c>
      <c r="AS68" s="176">
        <f t="shared" si="61"/>
        <v>0</v>
      </c>
      <c r="AT68" s="176"/>
      <c r="AU68" s="176">
        <f t="shared" si="62"/>
        <v>0</v>
      </c>
      <c r="AV68" s="176"/>
      <c r="AW68" s="355">
        <f t="shared" si="63"/>
        <v>0</v>
      </c>
      <c r="AX68" s="176">
        <f>BJ68</f>
        <v>0</v>
      </c>
      <c r="AY68" s="176"/>
      <c r="AZ68" s="176"/>
      <c r="BA68" s="176"/>
      <c r="BB68" s="176"/>
      <c r="BC68" s="176"/>
      <c r="BD68" s="176"/>
      <c r="BE68" s="176"/>
      <c r="BF68" s="176"/>
      <c r="BG68" s="176"/>
      <c r="BH68" s="176"/>
      <c r="BI68" s="176"/>
      <c r="BJ68" s="176"/>
      <c r="BK68" s="176"/>
      <c r="BL68" s="176"/>
      <c r="BM68" s="346">
        <f t="shared" si="44"/>
        <v>0</v>
      </c>
      <c r="BN68" s="337"/>
      <c r="BO68" s="99"/>
      <c r="BP68" s="102">
        <f t="shared" si="53"/>
        <v>0</v>
      </c>
      <c r="BQ68" s="186"/>
      <c r="BR68" s="186">
        <f t="shared" si="54"/>
        <v>0</v>
      </c>
      <c r="BS68" s="186">
        <f>BM68/AG68*100</f>
        <v>0</v>
      </c>
      <c r="BT68" s="186">
        <f t="shared" ref="BT68:BT99" si="70">BM68-AG68</f>
        <v>-35187.199999999997</v>
      </c>
    </row>
    <row r="69" spans="1:74" s="547" customFormat="1" ht="30" outlineLevel="7" x14ac:dyDescent="0.25">
      <c r="A69" s="8"/>
      <c r="B69" s="223" t="s">
        <v>351</v>
      </c>
      <c r="C69" s="10" t="s">
        <v>262</v>
      </c>
      <c r="D69" s="68"/>
      <c r="E69" s="68"/>
      <c r="F69" s="176"/>
      <c r="G69" s="176"/>
      <c r="H69" s="176"/>
      <c r="I69" s="176"/>
      <c r="J69" s="176">
        <v>188.1</v>
      </c>
      <c r="K69" s="176">
        <v>1504.8</v>
      </c>
      <c r="L69" s="176"/>
      <c r="M69" s="174"/>
      <c r="N69" s="176"/>
      <c r="O69" s="176"/>
      <c r="P69" s="174"/>
      <c r="Q69" s="174"/>
      <c r="R69" s="176">
        <f>F69+G69+H69+I69+J69+K69+L69+M69+N69+O69+P69+Q69</f>
        <v>1692.8999999999999</v>
      </c>
      <c r="S69" s="324">
        <v>595.1</v>
      </c>
      <c r="T69" s="324">
        <f t="shared" si="13"/>
        <v>592.5</v>
      </c>
      <c r="U69" s="176"/>
      <c r="V69" s="176"/>
      <c r="W69" s="176"/>
      <c r="X69" s="176"/>
      <c r="Y69" s="176"/>
      <c r="Z69" s="176"/>
      <c r="AA69" s="176">
        <v>177.8</v>
      </c>
      <c r="AB69" s="176"/>
      <c r="AC69" s="176">
        <v>414.7</v>
      </c>
      <c r="AD69" s="176"/>
      <c r="AE69" s="176"/>
      <c r="AF69" s="176"/>
      <c r="AG69" s="401">
        <f t="shared" si="66"/>
        <v>592.5</v>
      </c>
      <c r="AH69" s="335">
        <v>1032</v>
      </c>
      <c r="AI69" s="170">
        <v>0</v>
      </c>
      <c r="AJ69" s="335">
        <f t="shared" si="56"/>
        <v>0</v>
      </c>
      <c r="AK69" s="402">
        <f t="shared" si="52"/>
        <v>0</v>
      </c>
      <c r="AL69" s="324"/>
      <c r="AM69" s="324">
        <f t="shared" si="57"/>
        <v>0</v>
      </c>
      <c r="AN69" s="324">
        <f t="shared" si="57"/>
        <v>0</v>
      </c>
      <c r="AO69" s="324">
        <f t="shared" si="58"/>
        <v>0</v>
      </c>
      <c r="AP69" s="324">
        <f t="shared" si="59"/>
        <v>0</v>
      </c>
      <c r="AQ69" s="324"/>
      <c r="AR69" s="176">
        <f t="shared" si="60"/>
        <v>0</v>
      </c>
      <c r="AS69" s="176">
        <f t="shared" si="61"/>
        <v>0</v>
      </c>
      <c r="AT69" s="176"/>
      <c r="AU69" s="176">
        <f t="shared" si="62"/>
        <v>0</v>
      </c>
      <c r="AV69" s="176"/>
      <c r="AW69" s="355">
        <f t="shared" si="63"/>
        <v>0</v>
      </c>
      <c r="AX69" s="176"/>
      <c r="AY69" s="176"/>
      <c r="AZ69" s="176"/>
      <c r="BA69" s="176"/>
      <c r="BB69" s="176"/>
      <c r="BC69" s="176"/>
      <c r="BD69" s="176"/>
      <c r="BE69" s="176"/>
      <c r="BF69" s="176"/>
      <c r="BG69" s="176"/>
      <c r="BH69" s="176"/>
      <c r="BI69" s="176"/>
      <c r="BJ69" s="176"/>
      <c r="BK69" s="176"/>
      <c r="BL69" s="176"/>
      <c r="BM69" s="346">
        <f t="shared" si="44"/>
        <v>0</v>
      </c>
      <c r="BN69" s="337"/>
      <c r="BO69" s="99">
        <f>BM69/AH69*100</f>
        <v>0</v>
      </c>
      <c r="BP69" s="102">
        <f t="shared" si="53"/>
        <v>-1032</v>
      </c>
      <c r="BQ69" s="186"/>
      <c r="BR69" s="186">
        <f t="shared" ref="BR69:BR100" si="71">BM69-AI69</f>
        <v>0</v>
      </c>
      <c r="BS69" s="186">
        <f>BM69/AG69*100</f>
        <v>0</v>
      </c>
      <c r="BT69" s="186">
        <f t="shared" si="70"/>
        <v>-592.5</v>
      </c>
      <c r="BU69" s="554"/>
    </row>
    <row r="70" spans="1:74" s="547" customFormat="1" ht="75.75" customHeight="1" outlineLevel="7" x14ac:dyDescent="0.25">
      <c r="A70" s="8"/>
      <c r="B70" s="9" t="s">
        <v>353</v>
      </c>
      <c r="C70" s="10" t="s">
        <v>352</v>
      </c>
      <c r="D70" s="68"/>
      <c r="E70" s="68"/>
      <c r="F70" s="174"/>
      <c r="G70" s="174"/>
      <c r="H70" s="176"/>
      <c r="I70" s="174"/>
      <c r="J70" s="174">
        <v>1338.3</v>
      </c>
      <c r="K70" s="174"/>
      <c r="L70" s="176">
        <v>1338.3</v>
      </c>
      <c r="M70" s="174"/>
      <c r="N70" s="176"/>
      <c r="O70" s="176"/>
      <c r="P70" s="174"/>
      <c r="Q70" s="174"/>
      <c r="R70" s="176">
        <f>F70+G70+H70+I70+J70+K70+L70+M70+N70+O70+P70+Q70</f>
        <v>2676.6</v>
      </c>
      <c r="S70" s="324">
        <v>6022.5</v>
      </c>
      <c r="T70" s="324">
        <f t="shared" si="13"/>
        <v>6022.5</v>
      </c>
      <c r="U70" s="176"/>
      <c r="V70" s="176"/>
      <c r="W70" s="176"/>
      <c r="X70" s="176"/>
      <c r="Y70" s="176">
        <v>2007.5</v>
      </c>
      <c r="Z70" s="176"/>
      <c r="AA70" s="176">
        <v>2007.5</v>
      </c>
      <c r="AB70" s="176"/>
      <c r="AC70" s="176">
        <v>2007.5</v>
      </c>
      <c r="AD70" s="176"/>
      <c r="AE70" s="176"/>
      <c r="AF70" s="176"/>
      <c r="AG70" s="401">
        <f t="shared" si="66"/>
        <v>6022.5</v>
      </c>
      <c r="AH70" s="335">
        <v>2904.6</v>
      </c>
      <c r="AI70" s="170">
        <v>2904.6</v>
      </c>
      <c r="AJ70" s="335">
        <f t="shared" si="56"/>
        <v>1936.4</v>
      </c>
      <c r="AK70" s="402">
        <f t="shared" si="52"/>
        <v>0</v>
      </c>
      <c r="AL70" s="324"/>
      <c r="AM70" s="324">
        <f t="shared" si="57"/>
        <v>0</v>
      </c>
      <c r="AN70" s="324">
        <f t="shared" si="57"/>
        <v>0</v>
      </c>
      <c r="AO70" s="324">
        <f t="shared" si="58"/>
        <v>968.2</v>
      </c>
      <c r="AP70" s="324">
        <f t="shared" si="59"/>
        <v>0</v>
      </c>
      <c r="AQ70" s="324"/>
      <c r="AR70" s="176">
        <f t="shared" si="60"/>
        <v>968.2</v>
      </c>
      <c r="AS70" s="176">
        <f t="shared" si="61"/>
        <v>968.2</v>
      </c>
      <c r="AT70" s="176">
        <f>BG70</f>
        <v>968.2</v>
      </c>
      <c r="AU70" s="176">
        <f t="shared" si="62"/>
        <v>0</v>
      </c>
      <c r="AV70" s="176"/>
      <c r="AW70" s="355">
        <f t="shared" si="63"/>
        <v>0</v>
      </c>
      <c r="AX70" s="176"/>
      <c r="AY70" s="176"/>
      <c r="AZ70" s="176"/>
      <c r="BA70" s="176"/>
      <c r="BB70" s="176"/>
      <c r="BC70" s="176"/>
      <c r="BD70" s="176"/>
      <c r="BE70" s="176"/>
      <c r="BF70" s="176">
        <v>968.2</v>
      </c>
      <c r="BG70" s="176">
        <v>968.2</v>
      </c>
      <c r="BH70" s="176"/>
      <c r="BI70" s="176">
        <v>968.2</v>
      </c>
      <c r="BJ70" s="176"/>
      <c r="BK70" s="176"/>
      <c r="BL70" s="176"/>
      <c r="BM70" s="346">
        <f t="shared" si="44"/>
        <v>2904.6000000000004</v>
      </c>
      <c r="BN70" s="337"/>
      <c r="BO70" s="99">
        <f>BM70/AH70*100</f>
        <v>100.00000000000003</v>
      </c>
      <c r="BP70" s="102">
        <f t="shared" si="53"/>
        <v>0</v>
      </c>
      <c r="BQ70" s="186">
        <f>BM70/AI70*100</f>
        <v>100.00000000000003</v>
      </c>
      <c r="BR70" s="186">
        <f t="shared" si="71"/>
        <v>0</v>
      </c>
      <c r="BS70" s="186">
        <f>BM70/AG70*100</f>
        <v>48.229140722291412</v>
      </c>
      <c r="BT70" s="186">
        <f t="shared" si="70"/>
        <v>-3117.8999999999996</v>
      </c>
      <c r="BU70" s="554"/>
    </row>
    <row r="71" spans="1:74" s="547" customFormat="1" ht="50.25" customHeight="1" outlineLevel="7" x14ac:dyDescent="0.25">
      <c r="A71" s="8"/>
      <c r="B71" s="9" t="s">
        <v>215</v>
      </c>
      <c r="C71" s="10" t="s">
        <v>214</v>
      </c>
      <c r="D71" s="68"/>
      <c r="E71" s="68"/>
      <c r="F71" s="174"/>
      <c r="G71" s="174"/>
      <c r="H71" s="176"/>
      <c r="I71" s="174"/>
      <c r="J71" s="174"/>
      <c r="K71" s="174"/>
      <c r="L71" s="176"/>
      <c r="M71" s="174">
        <v>744.9</v>
      </c>
      <c r="N71" s="176">
        <v>6427</v>
      </c>
      <c r="O71" s="176">
        <v>5830</v>
      </c>
      <c r="P71" s="174"/>
      <c r="Q71" s="174"/>
      <c r="R71" s="176">
        <f>F71+G71+H71+I71+J71+K71+L71+M71+N71+O71+P71+Q71</f>
        <v>13001.9</v>
      </c>
      <c r="S71" s="324">
        <v>21523</v>
      </c>
      <c r="T71" s="324">
        <f t="shared" ref="T71:T128" si="72">U71+V71+W71+X71+Y71+Z71+AA71+AB71+AC71+AD71+AE71</f>
        <v>11188.4</v>
      </c>
      <c r="U71" s="176"/>
      <c r="V71" s="176"/>
      <c r="W71" s="176"/>
      <c r="X71" s="176"/>
      <c r="Y71" s="176">
        <v>2183.4</v>
      </c>
      <c r="Z71" s="176">
        <v>3396.5</v>
      </c>
      <c r="AA71" s="176">
        <v>904.9</v>
      </c>
      <c r="AB71" s="176">
        <v>1971</v>
      </c>
      <c r="AC71" s="176">
        <v>2732.6</v>
      </c>
      <c r="AD71" s="176"/>
      <c r="AE71" s="176"/>
      <c r="AF71" s="176">
        <v>6186.8</v>
      </c>
      <c r="AG71" s="401">
        <f t="shared" si="66"/>
        <v>17375.2</v>
      </c>
      <c r="AH71" s="335">
        <v>0</v>
      </c>
      <c r="AI71" s="170">
        <f>21703.1-2233.2</f>
        <v>19469.899999999998</v>
      </c>
      <c r="AJ71" s="335">
        <f t="shared" si="56"/>
        <v>19469.900000000001</v>
      </c>
      <c r="AK71" s="402">
        <f t="shared" si="52"/>
        <v>0</v>
      </c>
      <c r="AL71" s="324"/>
      <c r="AM71" s="324">
        <f t="shared" si="57"/>
        <v>0</v>
      </c>
      <c r="AN71" s="324">
        <f t="shared" si="57"/>
        <v>0</v>
      </c>
      <c r="AO71" s="324">
        <f t="shared" si="58"/>
        <v>4988.8</v>
      </c>
      <c r="AP71" s="324">
        <f t="shared" si="59"/>
        <v>0</v>
      </c>
      <c r="AQ71" s="176">
        <f>BE71</f>
        <v>4988.8</v>
      </c>
      <c r="AR71" s="176">
        <f t="shared" si="60"/>
        <v>0</v>
      </c>
      <c r="AS71" s="176">
        <f t="shared" si="61"/>
        <v>14481.1</v>
      </c>
      <c r="AT71" s="176">
        <f>BG71</f>
        <v>7068.6</v>
      </c>
      <c r="AU71" s="176">
        <f t="shared" si="62"/>
        <v>7412.5</v>
      </c>
      <c r="AV71" s="176"/>
      <c r="AW71" s="355">
        <f t="shared" si="63"/>
        <v>0</v>
      </c>
      <c r="AX71" s="176"/>
      <c r="AY71" s="176"/>
      <c r="AZ71" s="176"/>
      <c r="BA71" s="176"/>
      <c r="BB71" s="176"/>
      <c r="BC71" s="176"/>
      <c r="BD71" s="176"/>
      <c r="BE71" s="176">
        <v>4988.8</v>
      </c>
      <c r="BF71" s="176"/>
      <c r="BG71" s="176">
        <f>4953.2+2115.4</f>
        <v>7068.6</v>
      </c>
      <c r="BH71" s="176">
        <v>7412.5</v>
      </c>
      <c r="BI71" s="176"/>
      <c r="BJ71" s="176"/>
      <c r="BK71" s="176"/>
      <c r="BL71" s="176"/>
      <c r="BM71" s="346">
        <f t="shared" si="44"/>
        <v>19469.900000000001</v>
      </c>
      <c r="BN71" s="337"/>
      <c r="BO71" s="99"/>
      <c r="BP71" s="102">
        <f t="shared" si="53"/>
        <v>19469.900000000001</v>
      </c>
      <c r="BQ71" s="186">
        <f>BM71/AI71*100</f>
        <v>100.00000000000003</v>
      </c>
      <c r="BR71" s="186">
        <f t="shared" si="71"/>
        <v>0</v>
      </c>
      <c r="BS71" s="186">
        <f>BM71/AG71*100</f>
        <v>112.05568856761361</v>
      </c>
      <c r="BT71" s="186">
        <f t="shared" si="70"/>
        <v>2094.7000000000007</v>
      </c>
      <c r="BU71" s="554"/>
    </row>
    <row r="72" spans="1:74" s="547" customFormat="1" ht="50.25" customHeight="1" outlineLevel="7" x14ac:dyDescent="0.25">
      <c r="A72" s="8"/>
      <c r="B72" s="223" t="s">
        <v>448</v>
      </c>
      <c r="C72" s="10" t="s">
        <v>449</v>
      </c>
      <c r="D72" s="68"/>
      <c r="E72" s="68"/>
      <c r="F72" s="174"/>
      <c r="G72" s="174"/>
      <c r="H72" s="176"/>
      <c r="I72" s="174"/>
      <c r="J72" s="174"/>
      <c r="K72" s="174"/>
      <c r="L72" s="176"/>
      <c r="M72" s="174"/>
      <c r="N72" s="176"/>
      <c r="O72" s="176"/>
      <c r="P72" s="174"/>
      <c r="Q72" s="174"/>
      <c r="R72" s="176"/>
      <c r="S72" s="324">
        <v>3772.8</v>
      </c>
      <c r="T72" s="324">
        <f t="shared" si="72"/>
        <v>0</v>
      </c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401">
        <f t="shared" si="66"/>
        <v>0</v>
      </c>
      <c r="AH72" s="335">
        <v>0</v>
      </c>
      <c r="AI72" s="170">
        <v>3772.8</v>
      </c>
      <c r="AJ72" s="335">
        <f t="shared" si="56"/>
        <v>0</v>
      </c>
      <c r="AK72" s="402">
        <f t="shared" si="52"/>
        <v>0</v>
      </c>
      <c r="AL72" s="324"/>
      <c r="AM72" s="324">
        <f t="shared" si="57"/>
        <v>0</v>
      </c>
      <c r="AN72" s="324">
        <f t="shared" si="57"/>
        <v>0</v>
      </c>
      <c r="AO72" s="324">
        <f t="shared" si="58"/>
        <v>0</v>
      </c>
      <c r="AP72" s="324">
        <f t="shared" si="59"/>
        <v>0</v>
      </c>
      <c r="AQ72" s="176"/>
      <c r="AR72" s="176">
        <f t="shared" si="60"/>
        <v>0</v>
      </c>
      <c r="AS72" s="176">
        <f t="shared" si="61"/>
        <v>0</v>
      </c>
      <c r="AT72" s="176"/>
      <c r="AU72" s="176">
        <f t="shared" si="62"/>
        <v>0</v>
      </c>
      <c r="AV72" s="176"/>
      <c r="AW72" s="355">
        <f t="shared" si="63"/>
        <v>0</v>
      </c>
      <c r="AX72" s="176"/>
      <c r="AY72" s="176"/>
      <c r="AZ72" s="176"/>
      <c r="BA72" s="176"/>
      <c r="BB72" s="176"/>
      <c r="BC72" s="176"/>
      <c r="BD72" s="176"/>
      <c r="BE72" s="176"/>
      <c r="BF72" s="176"/>
      <c r="BG72" s="176"/>
      <c r="BH72" s="176"/>
      <c r="BI72" s="176"/>
      <c r="BJ72" s="176"/>
      <c r="BK72" s="176"/>
      <c r="BL72" s="176"/>
      <c r="BM72" s="346">
        <f t="shared" ref="BM72:BM128" si="73">SUM(BA72:BL72)</f>
        <v>0</v>
      </c>
      <c r="BN72" s="337"/>
      <c r="BO72" s="99"/>
      <c r="BP72" s="102">
        <f t="shared" si="53"/>
        <v>0</v>
      </c>
      <c r="BQ72" s="186">
        <f>BM72/AI72*100</f>
        <v>0</v>
      </c>
      <c r="BR72" s="186">
        <f t="shared" si="71"/>
        <v>-3772.8</v>
      </c>
      <c r="BS72" s="186"/>
      <c r="BT72" s="186">
        <f t="shared" si="70"/>
        <v>0</v>
      </c>
      <c r="BU72" s="554"/>
    </row>
    <row r="73" spans="1:74" s="547" customFormat="1" ht="33" customHeight="1" outlineLevel="7" x14ac:dyDescent="0.25">
      <c r="A73" s="8"/>
      <c r="B73" s="230" t="s">
        <v>267</v>
      </c>
      <c r="C73" s="10" t="s">
        <v>566</v>
      </c>
      <c r="D73" s="68"/>
      <c r="E73" s="68"/>
      <c r="F73" s="174"/>
      <c r="G73" s="174"/>
      <c r="H73" s="176"/>
      <c r="I73" s="174"/>
      <c r="J73" s="174"/>
      <c r="K73" s="174"/>
      <c r="L73" s="176"/>
      <c r="M73" s="174"/>
      <c r="N73" s="176"/>
      <c r="O73" s="176"/>
      <c r="P73" s="174"/>
      <c r="Q73" s="176">
        <v>1616.9</v>
      </c>
      <c r="R73" s="176">
        <f>F73+G73+H73+I73+J73+K73+L73+M73+N73+O73+P73+Q73</f>
        <v>1616.9</v>
      </c>
      <c r="S73" s="324"/>
      <c r="T73" s="324">
        <f t="shared" si="72"/>
        <v>0</v>
      </c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401">
        <f t="shared" si="66"/>
        <v>0</v>
      </c>
      <c r="AH73" s="335">
        <v>0</v>
      </c>
      <c r="AI73" s="170">
        <v>1692.9</v>
      </c>
      <c r="AJ73" s="335">
        <f t="shared" si="56"/>
        <v>1692.9</v>
      </c>
      <c r="AK73" s="402">
        <f t="shared" si="52"/>
        <v>0</v>
      </c>
      <c r="AL73" s="324"/>
      <c r="AM73" s="324">
        <f t="shared" si="57"/>
        <v>0</v>
      </c>
      <c r="AN73" s="324">
        <f t="shared" si="57"/>
        <v>0</v>
      </c>
      <c r="AO73" s="324">
        <f t="shared" si="58"/>
        <v>0</v>
      </c>
      <c r="AP73" s="324">
        <f t="shared" si="59"/>
        <v>0</v>
      </c>
      <c r="AQ73" s="324"/>
      <c r="AR73" s="176">
        <f t="shared" si="60"/>
        <v>0</v>
      </c>
      <c r="AS73" s="176">
        <f t="shared" si="61"/>
        <v>0</v>
      </c>
      <c r="AT73" s="176"/>
      <c r="AU73" s="176">
        <f t="shared" si="62"/>
        <v>0</v>
      </c>
      <c r="AV73" s="176"/>
      <c r="AW73" s="355">
        <f t="shared" si="63"/>
        <v>1692.9</v>
      </c>
      <c r="AX73" s="176">
        <f>BJ73</f>
        <v>1692.9</v>
      </c>
      <c r="AY73" s="176"/>
      <c r="AZ73" s="176"/>
      <c r="BA73" s="176"/>
      <c r="BB73" s="176"/>
      <c r="BC73" s="176"/>
      <c r="BD73" s="176"/>
      <c r="BE73" s="176"/>
      <c r="BF73" s="176"/>
      <c r="BG73" s="176"/>
      <c r="BH73" s="176"/>
      <c r="BI73" s="176"/>
      <c r="BJ73" s="176">
        <v>1692.9</v>
      </c>
      <c r="BK73" s="176"/>
      <c r="BL73" s="176"/>
      <c r="BM73" s="346">
        <f t="shared" si="73"/>
        <v>1692.9</v>
      </c>
      <c r="BN73" s="337"/>
      <c r="BO73" s="99"/>
      <c r="BP73" s="102">
        <f t="shared" si="53"/>
        <v>1692.9</v>
      </c>
      <c r="BQ73" s="186">
        <f>BM73/AI73*100</f>
        <v>100</v>
      </c>
      <c r="BR73" s="186">
        <f t="shared" si="71"/>
        <v>0</v>
      </c>
      <c r="BS73" s="186"/>
      <c r="BT73" s="186">
        <f t="shared" si="70"/>
        <v>1692.9</v>
      </c>
      <c r="BU73" s="554"/>
    </row>
    <row r="74" spans="1:74" s="547" customFormat="1" ht="46.5" customHeight="1" outlineLevel="7" x14ac:dyDescent="0.25">
      <c r="A74" s="8"/>
      <c r="B74" s="223" t="s">
        <v>466</v>
      </c>
      <c r="C74" s="10" t="s">
        <v>470</v>
      </c>
      <c r="D74" s="68"/>
      <c r="E74" s="68"/>
      <c r="F74" s="174"/>
      <c r="G74" s="174"/>
      <c r="H74" s="176"/>
      <c r="I74" s="174"/>
      <c r="J74" s="174"/>
      <c r="K74" s="174"/>
      <c r="L74" s="176"/>
      <c r="M74" s="174"/>
      <c r="N74" s="176"/>
      <c r="O74" s="176"/>
      <c r="P74" s="174"/>
      <c r="Q74" s="176"/>
      <c r="R74" s="176"/>
      <c r="S74" s="324">
        <v>1675.6</v>
      </c>
      <c r="T74" s="324">
        <f t="shared" si="72"/>
        <v>1675.6000000000001</v>
      </c>
      <c r="U74" s="176"/>
      <c r="V74" s="176"/>
      <c r="W74" s="176"/>
      <c r="X74" s="176"/>
      <c r="Y74" s="176">
        <v>162</v>
      </c>
      <c r="Z74" s="176">
        <v>132.30000000000001</v>
      </c>
      <c r="AA74" s="176">
        <v>953.4</v>
      </c>
      <c r="AB74" s="176">
        <v>420.2</v>
      </c>
      <c r="AC74" s="176">
        <v>6.4</v>
      </c>
      <c r="AD74" s="176">
        <v>1.3</v>
      </c>
      <c r="AE74" s="176"/>
      <c r="AF74" s="176"/>
      <c r="AG74" s="401">
        <f t="shared" si="66"/>
        <v>1675.6000000000001</v>
      </c>
      <c r="AH74" s="335">
        <v>0</v>
      </c>
      <c r="AI74" s="170">
        <v>0</v>
      </c>
      <c r="AJ74" s="335">
        <f t="shared" si="56"/>
        <v>0</v>
      </c>
      <c r="AK74" s="402">
        <f t="shared" si="52"/>
        <v>0</v>
      </c>
      <c r="AL74" s="324"/>
      <c r="AM74" s="324">
        <f t="shared" si="57"/>
        <v>0</v>
      </c>
      <c r="AN74" s="324">
        <f t="shared" si="57"/>
        <v>0</v>
      </c>
      <c r="AO74" s="324">
        <f t="shared" si="58"/>
        <v>0</v>
      </c>
      <c r="AP74" s="324">
        <f t="shared" si="59"/>
        <v>0</v>
      </c>
      <c r="AQ74" s="324"/>
      <c r="AR74" s="176">
        <f t="shared" si="60"/>
        <v>0</v>
      </c>
      <c r="AS74" s="176">
        <f t="shared" si="61"/>
        <v>0</v>
      </c>
      <c r="AT74" s="176"/>
      <c r="AU74" s="176">
        <f t="shared" si="62"/>
        <v>0</v>
      </c>
      <c r="AV74" s="176"/>
      <c r="AW74" s="355">
        <f t="shared" si="63"/>
        <v>0</v>
      </c>
      <c r="AX74" s="176"/>
      <c r="AY74" s="176"/>
      <c r="AZ74" s="176"/>
      <c r="BA74" s="176"/>
      <c r="BB74" s="176"/>
      <c r="BC74" s="176"/>
      <c r="BD74" s="176"/>
      <c r="BE74" s="176"/>
      <c r="BF74" s="176"/>
      <c r="BG74" s="176"/>
      <c r="BH74" s="176"/>
      <c r="BI74" s="176"/>
      <c r="BJ74" s="176"/>
      <c r="BK74" s="176"/>
      <c r="BL74" s="176"/>
      <c r="BM74" s="346">
        <f t="shared" si="73"/>
        <v>0</v>
      </c>
      <c r="BN74" s="337"/>
      <c r="BO74" s="99"/>
      <c r="BP74" s="102">
        <f t="shared" si="53"/>
        <v>0</v>
      </c>
      <c r="BQ74" s="186"/>
      <c r="BR74" s="186">
        <f t="shared" si="71"/>
        <v>0</v>
      </c>
      <c r="BS74" s="186">
        <f t="shared" ref="BS74:BS81" si="74">BM74/AG74*100</f>
        <v>0</v>
      </c>
      <c r="BT74" s="186">
        <f t="shared" si="70"/>
        <v>-1675.6000000000001</v>
      </c>
      <c r="BU74" s="554"/>
    </row>
    <row r="75" spans="1:74" s="547" customFormat="1" ht="24" customHeight="1" outlineLevel="2" x14ac:dyDescent="0.25">
      <c r="A75" s="8" t="s">
        <v>53</v>
      </c>
      <c r="B75" s="22" t="s">
        <v>125</v>
      </c>
      <c r="C75" s="23"/>
      <c r="D75" s="169">
        <v>216489.2</v>
      </c>
      <c r="E75" s="169">
        <v>258762.7</v>
      </c>
      <c r="F75" s="106">
        <f t="shared" ref="F75:AI75" si="75">SUM(F76:F112)</f>
        <v>20800.200000000004</v>
      </c>
      <c r="G75" s="106">
        <f t="shared" si="75"/>
        <v>19603.199999999997</v>
      </c>
      <c r="H75" s="106">
        <f t="shared" si="75"/>
        <v>34869.199999999997</v>
      </c>
      <c r="I75" s="106">
        <f t="shared" si="75"/>
        <v>30304.499999999996</v>
      </c>
      <c r="J75" s="106">
        <f t="shared" si="75"/>
        <v>30987.7</v>
      </c>
      <c r="K75" s="106">
        <f t="shared" si="75"/>
        <v>31015.9</v>
      </c>
      <c r="L75" s="106">
        <f t="shared" si="75"/>
        <v>16459.2</v>
      </c>
      <c r="M75" s="106">
        <f t="shared" si="75"/>
        <v>22212.999999999996</v>
      </c>
      <c r="N75" s="106">
        <f t="shared" si="75"/>
        <v>22101.899999999998</v>
      </c>
      <c r="O75" s="106">
        <f t="shared" si="75"/>
        <v>22809.1</v>
      </c>
      <c r="P75" s="106">
        <f t="shared" si="75"/>
        <v>27640.499999999996</v>
      </c>
      <c r="Q75" s="106">
        <f t="shared" si="75"/>
        <v>20197.700000000004</v>
      </c>
      <c r="R75" s="106">
        <f t="shared" si="75"/>
        <v>299002.09999999992</v>
      </c>
      <c r="S75" s="325">
        <f t="shared" si="75"/>
        <v>393014.1999999999</v>
      </c>
      <c r="T75" s="106">
        <f t="shared" si="75"/>
        <v>345524.8</v>
      </c>
      <c r="U75" s="106">
        <f t="shared" si="75"/>
        <v>24980.9</v>
      </c>
      <c r="V75" s="106">
        <f t="shared" si="75"/>
        <v>21184.1</v>
      </c>
      <c r="W75" s="106">
        <f t="shared" si="75"/>
        <v>43488.799999999996</v>
      </c>
      <c r="X75" s="106">
        <f t="shared" si="75"/>
        <v>65601.299999999988</v>
      </c>
      <c r="Y75" s="106">
        <f t="shared" si="75"/>
        <v>9196.2999999999993</v>
      </c>
      <c r="Z75" s="106">
        <f t="shared" si="75"/>
        <v>39541.100000000006</v>
      </c>
      <c r="AA75" s="106">
        <f t="shared" si="75"/>
        <v>29719.199999999993</v>
      </c>
      <c r="AB75" s="106">
        <f t="shared" si="75"/>
        <v>31395.8</v>
      </c>
      <c r="AC75" s="106">
        <f t="shared" si="75"/>
        <v>24772.000000000004</v>
      </c>
      <c r="AD75" s="106">
        <f t="shared" si="75"/>
        <v>29267.599999999999</v>
      </c>
      <c r="AE75" s="106">
        <f t="shared" si="75"/>
        <v>26377.7</v>
      </c>
      <c r="AF75" s="106">
        <f t="shared" si="75"/>
        <v>47073.5</v>
      </c>
      <c r="AG75" s="106">
        <f t="shared" si="75"/>
        <v>392506.99999999983</v>
      </c>
      <c r="AH75" s="106">
        <f>SUM(AH76:AH112)</f>
        <v>409416.10000000003</v>
      </c>
      <c r="AI75" s="106">
        <f t="shared" si="75"/>
        <v>415356.00000000006</v>
      </c>
      <c r="AJ75" s="106">
        <f t="shared" ref="AJ75:BP75" si="76">SUM(AJ76:AJ112)</f>
        <v>312754.39999999997</v>
      </c>
      <c r="AK75" s="106">
        <f t="shared" si="76"/>
        <v>56672.9</v>
      </c>
      <c r="AL75" s="106">
        <f t="shared" si="76"/>
        <v>0</v>
      </c>
      <c r="AM75" s="106">
        <f t="shared" si="76"/>
        <v>27249.199999999997</v>
      </c>
      <c r="AN75" s="106">
        <f t="shared" si="76"/>
        <v>29560.399999999994</v>
      </c>
      <c r="AO75" s="106">
        <f t="shared" si="76"/>
        <v>129755.59999999996</v>
      </c>
      <c r="AP75" s="106">
        <f t="shared" si="76"/>
        <v>60872.4</v>
      </c>
      <c r="AQ75" s="106">
        <f t="shared" si="76"/>
        <v>24169.9</v>
      </c>
      <c r="AR75" s="106">
        <f t="shared" si="76"/>
        <v>44900.1</v>
      </c>
      <c r="AS75" s="106">
        <f t="shared" si="76"/>
        <v>40340.800000000003</v>
      </c>
      <c r="AT75" s="106">
        <f t="shared" si="76"/>
        <v>0</v>
      </c>
      <c r="AU75" s="106">
        <f t="shared" si="76"/>
        <v>40359.1</v>
      </c>
      <c r="AV75" s="106">
        <f t="shared" si="76"/>
        <v>0</v>
      </c>
      <c r="AW75" s="106">
        <f t="shared" si="76"/>
        <v>85985.1</v>
      </c>
      <c r="AX75" s="106">
        <f t="shared" si="76"/>
        <v>53807.999999999993</v>
      </c>
      <c r="AY75" s="106">
        <f t="shared" si="76"/>
        <v>1577.5</v>
      </c>
      <c r="AZ75" s="106">
        <f t="shared" si="76"/>
        <v>30690.799999999999</v>
      </c>
      <c r="BA75" s="106">
        <f t="shared" si="76"/>
        <v>28546.400000000001</v>
      </c>
      <c r="BB75" s="106">
        <f t="shared" si="76"/>
        <v>27249.199999999997</v>
      </c>
      <c r="BC75" s="106">
        <f t="shared" si="76"/>
        <v>29560.399999999994</v>
      </c>
      <c r="BD75" s="106">
        <f t="shared" si="76"/>
        <v>60872.4</v>
      </c>
      <c r="BE75" s="106">
        <f t="shared" si="76"/>
        <v>24169.9</v>
      </c>
      <c r="BF75" s="106">
        <f t="shared" si="76"/>
        <v>44900.1</v>
      </c>
      <c r="BG75" s="106">
        <f t="shared" si="76"/>
        <v>16721.300000000003</v>
      </c>
      <c r="BH75" s="106">
        <f t="shared" si="76"/>
        <v>40359.1</v>
      </c>
      <c r="BI75" s="106">
        <f t="shared" si="76"/>
        <v>26100.799999999999</v>
      </c>
      <c r="BJ75" s="106">
        <f t="shared" si="76"/>
        <v>53807.999999999993</v>
      </c>
      <c r="BK75" s="106">
        <f t="shared" si="76"/>
        <v>1577.5</v>
      </c>
      <c r="BL75" s="106">
        <f t="shared" si="76"/>
        <v>52717.4</v>
      </c>
      <c r="BM75" s="106">
        <f t="shared" si="76"/>
        <v>406582.40000000008</v>
      </c>
      <c r="BN75" s="106">
        <f t="shared" si="76"/>
        <v>0</v>
      </c>
      <c r="BO75" s="169">
        <f t="shared" ref="BO75:BO87" si="77">BM75/AH75*100</f>
        <v>99.307867961225767</v>
      </c>
      <c r="BP75" s="106">
        <f t="shared" si="76"/>
        <v>-2833.7000000000025</v>
      </c>
      <c r="BQ75" s="187">
        <f t="shared" ref="BQ75:BQ83" si="78">BM75/AI75*100</f>
        <v>97.887691522453039</v>
      </c>
      <c r="BR75" s="106">
        <f t="shared" si="71"/>
        <v>-8773.5999999999767</v>
      </c>
      <c r="BS75" s="187">
        <f t="shared" si="74"/>
        <v>103.58602521738472</v>
      </c>
      <c r="BT75" s="187">
        <f t="shared" si="70"/>
        <v>14075.400000000256</v>
      </c>
      <c r="BU75" s="554"/>
      <c r="BV75" s="72">
        <f>BM75-AH75</f>
        <v>-2833.6999999999534</v>
      </c>
    </row>
    <row r="76" spans="1:74" s="547" customFormat="1" ht="73.5" customHeight="1" outlineLevel="7" x14ac:dyDescent="0.25">
      <c r="A76" s="8" t="s">
        <v>54</v>
      </c>
      <c r="B76" s="9" t="s">
        <v>372</v>
      </c>
      <c r="C76" s="10" t="s">
        <v>227</v>
      </c>
      <c r="D76" s="68"/>
      <c r="E76" s="68"/>
      <c r="F76" s="176"/>
      <c r="G76" s="176"/>
      <c r="H76" s="176"/>
      <c r="I76" s="176"/>
      <c r="J76" s="176"/>
      <c r="K76" s="176">
        <v>828.9</v>
      </c>
      <c r="L76" s="176"/>
      <c r="M76" s="176"/>
      <c r="N76" s="176"/>
      <c r="O76" s="176"/>
      <c r="P76" s="174"/>
      <c r="Q76" s="176">
        <v>517.79999999999995</v>
      </c>
      <c r="R76" s="176">
        <f t="shared" ref="R76:R102" si="79">F76+G76+H76+I76+J76+K76+L76+M76+N76+O76+P76+Q76</f>
        <v>1346.6999999999998</v>
      </c>
      <c r="S76" s="324">
        <v>234.3</v>
      </c>
      <c r="T76" s="324">
        <f t="shared" si="72"/>
        <v>234.3</v>
      </c>
      <c r="U76" s="176"/>
      <c r="V76" s="176"/>
      <c r="W76" s="176"/>
      <c r="X76" s="176">
        <v>234.3</v>
      </c>
      <c r="Y76" s="176"/>
      <c r="Z76" s="176"/>
      <c r="AA76" s="176"/>
      <c r="AB76" s="176"/>
      <c r="AC76" s="176"/>
      <c r="AD76" s="176"/>
      <c r="AE76" s="176"/>
      <c r="AF76" s="176"/>
      <c r="AG76" s="346">
        <f>U76+V76+W76+X76+Y76+Z76+AA76+AB76+AC76+AF76+AE76+AD76</f>
        <v>234.3</v>
      </c>
      <c r="AH76" s="337">
        <v>680</v>
      </c>
      <c r="AI76" s="170">
        <v>326.2</v>
      </c>
      <c r="AJ76" s="337">
        <f t="shared" ref="AJ76:AJ112" si="80">AK76+AO76+AS76+AW76</f>
        <v>326.2</v>
      </c>
      <c r="AK76" s="319">
        <f t="shared" ref="AK76:AK112" si="81">AL76+AM76+AN76</f>
        <v>0</v>
      </c>
      <c r="AL76" s="324"/>
      <c r="AM76" s="324">
        <f>BB76</f>
        <v>0</v>
      </c>
      <c r="AN76" s="324">
        <f>BC76</f>
        <v>0</v>
      </c>
      <c r="AO76" s="318">
        <f t="shared" si="58"/>
        <v>326.2</v>
      </c>
      <c r="AP76" s="324">
        <f>BD76</f>
        <v>326.2</v>
      </c>
      <c r="AQ76" s="324"/>
      <c r="AR76" s="176">
        <f>BF76</f>
        <v>0</v>
      </c>
      <c r="AS76" s="174">
        <f t="shared" si="61"/>
        <v>0</v>
      </c>
      <c r="AT76" s="176"/>
      <c r="AU76" s="176">
        <f>BH76</f>
        <v>0</v>
      </c>
      <c r="AV76" s="176"/>
      <c r="AW76" s="345">
        <f t="shared" si="63"/>
        <v>0</v>
      </c>
      <c r="AX76" s="174"/>
      <c r="AY76" s="176"/>
      <c r="AZ76" s="176"/>
      <c r="BA76" s="176"/>
      <c r="BB76" s="176"/>
      <c r="BC76" s="176"/>
      <c r="BD76" s="176">
        <v>326.2</v>
      </c>
      <c r="BE76" s="176"/>
      <c r="BF76" s="176"/>
      <c r="BG76" s="176"/>
      <c r="BH76" s="176"/>
      <c r="BI76" s="176"/>
      <c r="BJ76" s="176"/>
      <c r="BK76" s="176"/>
      <c r="BL76" s="176"/>
      <c r="BM76" s="346">
        <f t="shared" si="73"/>
        <v>326.2</v>
      </c>
      <c r="BN76" s="337"/>
      <c r="BO76" s="170">
        <f t="shared" si="77"/>
        <v>47.970588235294116</v>
      </c>
      <c r="BP76" s="102">
        <f t="shared" ref="BP76:BP112" si="82">BM76-AH76</f>
        <v>-353.8</v>
      </c>
      <c r="BQ76" s="186">
        <f t="shared" si="78"/>
        <v>100</v>
      </c>
      <c r="BR76" s="186">
        <f t="shared" si="71"/>
        <v>0</v>
      </c>
      <c r="BS76" s="186">
        <f t="shared" si="74"/>
        <v>139.22321809645752</v>
      </c>
      <c r="BT76" s="186">
        <f t="shared" si="70"/>
        <v>91.899999999999977</v>
      </c>
      <c r="BU76" s="554"/>
    </row>
    <row r="77" spans="1:74" s="547" customFormat="1" ht="72.75" customHeight="1" outlineLevel="7" x14ac:dyDescent="0.25">
      <c r="A77" s="8"/>
      <c r="B77" s="9" t="s">
        <v>373</v>
      </c>
      <c r="C77" s="10" t="s">
        <v>259</v>
      </c>
      <c r="D77" s="68"/>
      <c r="E77" s="68"/>
      <c r="F77" s="176"/>
      <c r="G77" s="176"/>
      <c r="H77" s="176"/>
      <c r="I77" s="176"/>
      <c r="J77" s="176"/>
      <c r="K77" s="176">
        <v>43.6</v>
      </c>
      <c r="L77" s="176"/>
      <c r="M77" s="176"/>
      <c r="N77" s="176"/>
      <c r="O77" s="176"/>
      <c r="P77" s="174"/>
      <c r="Q77" s="176">
        <v>23.9</v>
      </c>
      <c r="R77" s="176">
        <f t="shared" si="79"/>
        <v>67.5</v>
      </c>
      <c r="S77" s="324">
        <v>74</v>
      </c>
      <c r="T77" s="324">
        <f t="shared" si="72"/>
        <v>74</v>
      </c>
      <c r="U77" s="176"/>
      <c r="V77" s="176"/>
      <c r="W77" s="176"/>
      <c r="X77" s="176">
        <v>74</v>
      </c>
      <c r="Y77" s="176"/>
      <c r="Z77" s="176"/>
      <c r="AA77" s="176"/>
      <c r="AB77" s="176"/>
      <c r="AC77" s="176"/>
      <c r="AD77" s="176"/>
      <c r="AE77" s="176"/>
      <c r="AF77" s="176"/>
      <c r="AG77" s="346">
        <f t="shared" ref="AG77:AG127" si="83">U77+V77+W77+X77+Y77+Z77+AA77+AB77+AC77+AF77+AE77+AD77</f>
        <v>74</v>
      </c>
      <c r="AH77" s="337">
        <v>226.7</v>
      </c>
      <c r="AI77" s="170">
        <v>108.7</v>
      </c>
      <c r="AJ77" s="337">
        <f t="shared" si="80"/>
        <v>108.7</v>
      </c>
      <c r="AK77" s="319">
        <f t="shared" si="81"/>
        <v>0</v>
      </c>
      <c r="AL77" s="324"/>
      <c r="AM77" s="324">
        <f t="shared" ref="AM77:AN112" si="84">BB77</f>
        <v>0</v>
      </c>
      <c r="AN77" s="324">
        <f t="shared" si="84"/>
        <v>0</v>
      </c>
      <c r="AO77" s="318">
        <f t="shared" si="58"/>
        <v>108.7</v>
      </c>
      <c r="AP77" s="324">
        <f t="shared" ref="AP77:AP112" si="85">BD77</f>
        <v>108.7</v>
      </c>
      <c r="AQ77" s="324"/>
      <c r="AR77" s="176">
        <f t="shared" ref="AR77:AR112" si="86">BF77</f>
        <v>0</v>
      </c>
      <c r="AS77" s="174">
        <f t="shared" si="61"/>
        <v>0</v>
      </c>
      <c r="AT77" s="176"/>
      <c r="AU77" s="176">
        <f t="shared" ref="AU77:AU112" si="87">BH77</f>
        <v>0</v>
      </c>
      <c r="AV77" s="176"/>
      <c r="AW77" s="345">
        <f t="shared" si="63"/>
        <v>0</v>
      </c>
      <c r="AX77" s="174"/>
      <c r="AY77" s="176"/>
      <c r="AZ77" s="176"/>
      <c r="BA77" s="176"/>
      <c r="BB77" s="176"/>
      <c r="BC77" s="176"/>
      <c r="BD77" s="176">
        <v>108.7</v>
      </c>
      <c r="BE77" s="176"/>
      <c r="BF77" s="176"/>
      <c r="BG77" s="176"/>
      <c r="BH77" s="176"/>
      <c r="BI77" s="176"/>
      <c r="BJ77" s="176"/>
      <c r="BK77" s="176"/>
      <c r="BL77" s="176"/>
      <c r="BM77" s="346">
        <f t="shared" si="73"/>
        <v>108.7</v>
      </c>
      <c r="BN77" s="337"/>
      <c r="BO77" s="170">
        <f t="shared" si="77"/>
        <v>47.948831054256729</v>
      </c>
      <c r="BP77" s="102">
        <f t="shared" si="82"/>
        <v>-117.99999999999999</v>
      </c>
      <c r="BQ77" s="186">
        <f t="shared" si="78"/>
        <v>100</v>
      </c>
      <c r="BR77" s="186">
        <f t="shared" si="71"/>
        <v>0</v>
      </c>
      <c r="BS77" s="186">
        <f t="shared" si="74"/>
        <v>146.8918918918919</v>
      </c>
      <c r="BT77" s="186">
        <f t="shared" si="70"/>
        <v>34.700000000000003</v>
      </c>
      <c r="BU77" s="554"/>
    </row>
    <row r="78" spans="1:74" s="547" customFormat="1" ht="59.25" customHeight="1" outlineLevel="7" x14ac:dyDescent="0.25">
      <c r="A78" s="8" t="s">
        <v>54</v>
      </c>
      <c r="B78" s="9" t="s">
        <v>60</v>
      </c>
      <c r="C78" s="10" t="s">
        <v>59</v>
      </c>
      <c r="D78" s="68"/>
      <c r="E78" s="68"/>
      <c r="F78" s="176"/>
      <c r="G78" s="176"/>
      <c r="H78" s="176"/>
      <c r="I78" s="176">
        <v>1910.4</v>
      </c>
      <c r="J78" s="176"/>
      <c r="K78" s="176"/>
      <c r="L78" s="176">
        <v>2234.3000000000002</v>
      </c>
      <c r="M78" s="176"/>
      <c r="N78" s="176">
        <v>1237.3</v>
      </c>
      <c r="O78" s="176"/>
      <c r="P78" s="174"/>
      <c r="Q78" s="174"/>
      <c r="R78" s="176">
        <f t="shared" si="79"/>
        <v>5382.0000000000009</v>
      </c>
      <c r="S78" s="324">
        <v>6989.3</v>
      </c>
      <c r="T78" s="324">
        <f t="shared" si="72"/>
        <v>6989.3</v>
      </c>
      <c r="U78" s="176"/>
      <c r="V78" s="176"/>
      <c r="W78" s="176"/>
      <c r="X78" s="176"/>
      <c r="Y78" s="176"/>
      <c r="Z78" s="176">
        <v>2115.6999999999998</v>
      </c>
      <c r="AA78" s="176">
        <v>4873.6000000000004</v>
      </c>
      <c r="AB78" s="176"/>
      <c r="AC78" s="176"/>
      <c r="AD78" s="176"/>
      <c r="AE78" s="176"/>
      <c r="AF78" s="176"/>
      <c r="AG78" s="346">
        <f t="shared" si="83"/>
        <v>6989.3</v>
      </c>
      <c r="AH78" s="337">
        <v>11728.2</v>
      </c>
      <c r="AI78" s="335">
        <v>3369.3</v>
      </c>
      <c r="AJ78" s="337">
        <f t="shared" si="80"/>
        <v>3369.3</v>
      </c>
      <c r="AK78" s="319">
        <f t="shared" si="81"/>
        <v>0</v>
      </c>
      <c r="AL78" s="324"/>
      <c r="AM78" s="324">
        <f t="shared" si="84"/>
        <v>0</v>
      </c>
      <c r="AN78" s="324">
        <f t="shared" si="84"/>
        <v>0</v>
      </c>
      <c r="AO78" s="318">
        <f t="shared" si="58"/>
        <v>3369.3</v>
      </c>
      <c r="AP78" s="324">
        <f t="shared" si="85"/>
        <v>0</v>
      </c>
      <c r="AQ78" s="324"/>
      <c r="AR78" s="176">
        <f t="shared" si="86"/>
        <v>3369.3</v>
      </c>
      <c r="AS78" s="174">
        <f t="shared" si="61"/>
        <v>0</v>
      </c>
      <c r="AT78" s="176"/>
      <c r="AU78" s="176">
        <f t="shared" si="87"/>
        <v>0</v>
      </c>
      <c r="AV78" s="176"/>
      <c r="AW78" s="345">
        <f t="shared" si="63"/>
        <v>0</v>
      </c>
      <c r="AX78" s="174"/>
      <c r="AY78" s="176"/>
      <c r="AZ78" s="176"/>
      <c r="BA78" s="176"/>
      <c r="BB78" s="176"/>
      <c r="BC78" s="176"/>
      <c r="BD78" s="176"/>
      <c r="BE78" s="176"/>
      <c r="BF78" s="176">
        <v>3369.3</v>
      </c>
      <c r="BG78" s="176"/>
      <c r="BH78" s="176"/>
      <c r="BI78" s="176"/>
      <c r="BJ78" s="176"/>
      <c r="BK78" s="176"/>
      <c r="BL78" s="176"/>
      <c r="BM78" s="346">
        <f t="shared" si="73"/>
        <v>3369.3</v>
      </c>
      <c r="BN78" s="337"/>
      <c r="BO78" s="170">
        <f t="shared" si="77"/>
        <v>28.728193584693301</v>
      </c>
      <c r="BP78" s="102">
        <f t="shared" si="82"/>
        <v>-8358.9000000000015</v>
      </c>
      <c r="BQ78" s="186">
        <f t="shared" si="78"/>
        <v>100</v>
      </c>
      <c r="BR78" s="186">
        <f t="shared" si="71"/>
        <v>0</v>
      </c>
      <c r="BS78" s="186">
        <f t="shared" si="74"/>
        <v>48.20654428912767</v>
      </c>
      <c r="BT78" s="186">
        <f t="shared" si="70"/>
        <v>-3620</v>
      </c>
      <c r="BU78" s="554"/>
    </row>
    <row r="79" spans="1:74" s="547" customFormat="1" ht="75" customHeight="1" outlineLevel="7" x14ac:dyDescent="0.25">
      <c r="A79" s="8" t="s">
        <v>54</v>
      </c>
      <c r="B79" s="9" t="s">
        <v>127</v>
      </c>
      <c r="C79" s="10" t="s">
        <v>56</v>
      </c>
      <c r="D79" s="68"/>
      <c r="E79" s="68"/>
      <c r="F79" s="176"/>
      <c r="G79" s="176">
        <v>39.1</v>
      </c>
      <c r="H79" s="176"/>
      <c r="I79" s="176">
        <v>39.200000000000003</v>
      </c>
      <c r="J79" s="176"/>
      <c r="K79" s="176"/>
      <c r="L79" s="176">
        <v>39.1</v>
      </c>
      <c r="M79" s="176"/>
      <c r="N79" s="176"/>
      <c r="O79" s="176">
        <v>39.200000000000003</v>
      </c>
      <c r="P79" s="174"/>
      <c r="Q79" s="174"/>
      <c r="R79" s="176">
        <f t="shared" si="79"/>
        <v>156.60000000000002</v>
      </c>
      <c r="S79" s="324">
        <v>155.80000000000001</v>
      </c>
      <c r="T79" s="324">
        <f t="shared" si="72"/>
        <v>155.80000000000001</v>
      </c>
      <c r="U79" s="176">
        <v>38.9</v>
      </c>
      <c r="V79" s="176"/>
      <c r="W79" s="176"/>
      <c r="X79" s="176">
        <v>39</v>
      </c>
      <c r="Y79" s="176"/>
      <c r="Z79" s="176"/>
      <c r="AA79" s="176">
        <v>38.9</v>
      </c>
      <c r="AB79" s="176">
        <v>39</v>
      </c>
      <c r="AC79" s="176"/>
      <c r="AD79" s="176"/>
      <c r="AE79" s="176"/>
      <c r="AF79" s="176"/>
      <c r="AG79" s="346">
        <f t="shared" si="83"/>
        <v>155.80000000000001</v>
      </c>
      <c r="AH79" s="337">
        <v>179.8</v>
      </c>
      <c r="AI79" s="170">
        <v>194.6</v>
      </c>
      <c r="AJ79" s="337">
        <f t="shared" si="80"/>
        <v>97.4</v>
      </c>
      <c r="AK79" s="319">
        <f t="shared" si="81"/>
        <v>0</v>
      </c>
      <c r="AL79" s="324"/>
      <c r="AM79" s="324">
        <f t="shared" si="84"/>
        <v>0</v>
      </c>
      <c r="AN79" s="324">
        <f t="shared" si="84"/>
        <v>0</v>
      </c>
      <c r="AO79" s="318">
        <f t="shared" si="58"/>
        <v>48.7</v>
      </c>
      <c r="AP79" s="324">
        <f t="shared" si="85"/>
        <v>48.7</v>
      </c>
      <c r="AQ79" s="324"/>
      <c r="AR79" s="176">
        <f t="shared" si="86"/>
        <v>0</v>
      </c>
      <c r="AS79" s="174">
        <f t="shared" si="61"/>
        <v>0</v>
      </c>
      <c r="AT79" s="176"/>
      <c r="AU79" s="176">
        <f t="shared" si="87"/>
        <v>0</v>
      </c>
      <c r="AV79" s="176"/>
      <c r="AW79" s="345">
        <f t="shared" si="63"/>
        <v>48.7</v>
      </c>
      <c r="AX79" s="176">
        <f>BJ79</f>
        <v>48.7</v>
      </c>
      <c r="AY79" s="176"/>
      <c r="AZ79" s="176"/>
      <c r="BA79" s="176">
        <v>48.6</v>
      </c>
      <c r="BB79" s="176"/>
      <c r="BC79" s="176"/>
      <c r="BD79" s="176">
        <v>48.7</v>
      </c>
      <c r="BE79" s="176"/>
      <c r="BF79" s="176"/>
      <c r="BG79" s="176">
        <v>48.6</v>
      </c>
      <c r="BH79" s="176"/>
      <c r="BI79" s="176"/>
      <c r="BJ79" s="176">
        <v>48.7</v>
      </c>
      <c r="BK79" s="176"/>
      <c r="BL79" s="176"/>
      <c r="BM79" s="346">
        <f t="shared" si="73"/>
        <v>194.60000000000002</v>
      </c>
      <c r="BN79" s="337"/>
      <c r="BO79" s="170">
        <f t="shared" si="77"/>
        <v>108.23136818687431</v>
      </c>
      <c r="BP79" s="102">
        <f t="shared" si="82"/>
        <v>14.800000000000011</v>
      </c>
      <c r="BQ79" s="186">
        <f t="shared" si="78"/>
        <v>100.00000000000003</v>
      </c>
      <c r="BR79" s="186">
        <f t="shared" si="71"/>
        <v>0</v>
      </c>
      <c r="BS79" s="186">
        <f t="shared" si="74"/>
        <v>124.90372272143775</v>
      </c>
      <c r="BT79" s="186">
        <f t="shared" si="70"/>
        <v>38.800000000000011</v>
      </c>
      <c r="BU79" s="554"/>
    </row>
    <row r="80" spans="1:74" s="547" customFormat="1" ht="30" outlineLevel="7" x14ac:dyDescent="0.25">
      <c r="A80" s="8" t="s">
        <v>54</v>
      </c>
      <c r="B80" s="9" t="s">
        <v>126</v>
      </c>
      <c r="C80" s="10" t="s">
        <v>55</v>
      </c>
      <c r="D80" s="68"/>
      <c r="E80" s="68"/>
      <c r="F80" s="176">
        <v>13036.2</v>
      </c>
      <c r="G80" s="176">
        <v>13036.2</v>
      </c>
      <c r="H80" s="176">
        <v>13036.2</v>
      </c>
      <c r="I80" s="176">
        <v>13036.2</v>
      </c>
      <c r="J80" s="176">
        <v>20805.8</v>
      </c>
      <c r="K80" s="176">
        <v>20910.099999999999</v>
      </c>
      <c r="L80" s="176">
        <v>7958.9</v>
      </c>
      <c r="M80" s="176">
        <v>9446.7999999999993</v>
      </c>
      <c r="N80" s="176">
        <v>13908.3</v>
      </c>
      <c r="O80" s="176">
        <v>13908.3</v>
      </c>
      <c r="P80" s="176">
        <v>13908.3</v>
      </c>
      <c r="Q80" s="176">
        <v>13908.3</v>
      </c>
      <c r="R80" s="176">
        <f t="shared" si="79"/>
        <v>166899.59999999998</v>
      </c>
      <c r="S80" s="324">
        <v>210445.7</v>
      </c>
      <c r="T80" s="324">
        <f t="shared" si="72"/>
        <v>192376.4</v>
      </c>
      <c r="U80" s="176">
        <v>15693.9</v>
      </c>
      <c r="V80" s="176">
        <v>15693.9</v>
      </c>
      <c r="W80" s="176">
        <v>15693.8</v>
      </c>
      <c r="X80" s="176">
        <v>40804.1</v>
      </c>
      <c r="Y80" s="176">
        <v>4625.6000000000004</v>
      </c>
      <c r="Z80" s="176">
        <v>26431.7</v>
      </c>
      <c r="AA80" s="176">
        <v>6607.9</v>
      </c>
      <c r="AB80" s="176">
        <v>13319.7</v>
      </c>
      <c r="AC80" s="176">
        <v>17718.400000000001</v>
      </c>
      <c r="AD80" s="176">
        <v>17718.400000000001</v>
      </c>
      <c r="AE80" s="176">
        <v>18069</v>
      </c>
      <c r="AF80" s="176">
        <v>18069.3</v>
      </c>
      <c r="AG80" s="346">
        <f t="shared" si="83"/>
        <v>210445.69999999998</v>
      </c>
      <c r="AH80" s="337">
        <v>223604.6</v>
      </c>
      <c r="AI80" s="335">
        <v>223604.6</v>
      </c>
      <c r="AJ80" s="337">
        <f t="shared" si="80"/>
        <v>174866.6</v>
      </c>
      <c r="AK80" s="319">
        <f t="shared" si="81"/>
        <v>35404.1</v>
      </c>
      <c r="AL80" s="324"/>
      <c r="AM80" s="324">
        <f t="shared" si="84"/>
        <v>17702.099999999999</v>
      </c>
      <c r="AN80" s="324">
        <f t="shared" si="84"/>
        <v>17702</v>
      </c>
      <c r="AO80" s="318">
        <f t="shared" si="58"/>
        <v>74348.5</v>
      </c>
      <c r="AP80" s="324">
        <f t="shared" si="85"/>
        <v>35404.1</v>
      </c>
      <c r="AQ80" s="176">
        <f>BE80</f>
        <v>10621.2</v>
      </c>
      <c r="AR80" s="176">
        <f t="shared" si="86"/>
        <v>28323.200000000001</v>
      </c>
      <c r="AS80" s="174">
        <f t="shared" si="61"/>
        <v>7080.8</v>
      </c>
      <c r="AT80" s="176"/>
      <c r="AU80" s="176">
        <f t="shared" si="87"/>
        <v>7080.8</v>
      </c>
      <c r="AV80" s="176"/>
      <c r="AW80" s="345">
        <f t="shared" si="63"/>
        <v>58033.2</v>
      </c>
      <c r="AX80" s="176">
        <f t="shared" ref="AX80:AX81" si="88">BJ80</f>
        <v>35404</v>
      </c>
      <c r="AY80" s="176"/>
      <c r="AZ80" s="176">
        <f>BL80</f>
        <v>22629.200000000001</v>
      </c>
      <c r="BA80" s="176">
        <v>17702</v>
      </c>
      <c r="BB80" s="176">
        <v>17702.099999999999</v>
      </c>
      <c r="BC80" s="176">
        <v>17702</v>
      </c>
      <c r="BD80" s="176">
        <f>17702.1+17702</f>
        <v>35404.1</v>
      </c>
      <c r="BE80" s="176">
        <v>10621.2</v>
      </c>
      <c r="BF80" s="176">
        <v>28323.200000000001</v>
      </c>
      <c r="BG80" s="176">
        <v>7080.8</v>
      </c>
      <c r="BH80" s="176">
        <v>7080.8</v>
      </c>
      <c r="BI80" s="176">
        <v>17702.099999999999</v>
      </c>
      <c r="BJ80" s="176">
        <v>35404</v>
      </c>
      <c r="BK80" s="176"/>
      <c r="BL80" s="176">
        <f>13778.2+8851</f>
        <v>22629.200000000001</v>
      </c>
      <c r="BM80" s="346">
        <f t="shared" si="73"/>
        <v>217351.5</v>
      </c>
      <c r="BN80" s="337"/>
      <c r="BO80" s="170">
        <f t="shared" si="77"/>
        <v>97.203501180208278</v>
      </c>
      <c r="BP80" s="102">
        <f t="shared" si="82"/>
        <v>-6253.1000000000058</v>
      </c>
      <c r="BQ80" s="186">
        <f t="shared" si="78"/>
        <v>97.203501180208278</v>
      </c>
      <c r="BR80" s="186">
        <f t="shared" si="71"/>
        <v>-6253.1000000000058</v>
      </c>
      <c r="BS80" s="186">
        <f t="shared" si="74"/>
        <v>103.28151157281904</v>
      </c>
      <c r="BT80" s="186">
        <f t="shared" si="70"/>
        <v>6905.8000000000175</v>
      </c>
      <c r="BU80" s="554"/>
    </row>
    <row r="81" spans="1:73" s="547" customFormat="1" ht="45.75" customHeight="1" outlineLevel="7" x14ac:dyDescent="0.25">
      <c r="A81" s="8"/>
      <c r="B81" s="9" t="s">
        <v>269</v>
      </c>
      <c r="C81" s="10" t="s">
        <v>270</v>
      </c>
      <c r="D81" s="68"/>
      <c r="E81" s="68"/>
      <c r="F81" s="176">
        <v>4891.1000000000004</v>
      </c>
      <c r="G81" s="176">
        <v>4891.2</v>
      </c>
      <c r="H81" s="176">
        <v>4891.1000000000004</v>
      </c>
      <c r="I81" s="176">
        <v>4891.1000000000004</v>
      </c>
      <c r="J81" s="176">
        <v>7806.3</v>
      </c>
      <c r="K81" s="176">
        <v>7845.4</v>
      </c>
      <c r="L81" s="176">
        <v>2986.1</v>
      </c>
      <c r="M81" s="176">
        <v>3545.8</v>
      </c>
      <c r="N81" s="176">
        <v>5218.6000000000004</v>
      </c>
      <c r="O81" s="176">
        <v>5218.5</v>
      </c>
      <c r="P81" s="176">
        <v>5218.5</v>
      </c>
      <c r="Q81" s="176">
        <v>5218.5</v>
      </c>
      <c r="R81" s="176">
        <f t="shared" si="79"/>
        <v>62622.2</v>
      </c>
      <c r="S81" s="324">
        <v>77195.100000000006</v>
      </c>
      <c r="T81" s="324">
        <f t="shared" si="72"/>
        <v>70487.400000000009</v>
      </c>
      <c r="U81" s="176">
        <v>5490.2</v>
      </c>
      <c r="V81" s="176">
        <v>5490.2</v>
      </c>
      <c r="W81" s="176">
        <v>5490.3</v>
      </c>
      <c r="X81" s="176">
        <v>14274.5</v>
      </c>
      <c r="Y81" s="176">
        <v>1618.2</v>
      </c>
      <c r="Z81" s="176">
        <v>9246.7000000000007</v>
      </c>
      <c r="AA81" s="176">
        <v>2311.6</v>
      </c>
      <c r="AB81" s="176">
        <v>6723.9</v>
      </c>
      <c r="AC81" s="176">
        <v>6567</v>
      </c>
      <c r="AD81" s="176">
        <v>6567.1</v>
      </c>
      <c r="AE81" s="176">
        <v>6707.7</v>
      </c>
      <c r="AF81" s="176">
        <v>6707.7</v>
      </c>
      <c r="AG81" s="346">
        <f t="shared" si="83"/>
        <v>77195.100000000006</v>
      </c>
      <c r="AH81" s="337">
        <v>81455.7</v>
      </c>
      <c r="AI81" s="335">
        <v>81455.7</v>
      </c>
      <c r="AJ81" s="337">
        <f t="shared" si="80"/>
        <v>63701.1</v>
      </c>
      <c r="AK81" s="319">
        <f t="shared" si="81"/>
        <v>12897.1</v>
      </c>
      <c r="AL81" s="324"/>
      <c r="AM81" s="324">
        <f t="shared" si="84"/>
        <v>6448.5</v>
      </c>
      <c r="AN81" s="324">
        <f t="shared" si="84"/>
        <v>6448.6</v>
      </c>
      <c r="AO81" s="318">
        <f t="shared" si="58"/>
        <v>27084</v>
      </c>
      <c r="AP81" s="324">
        <f t="shared" si="85"/>
        <v>12897.2</v>
      </c>
      <c r="AQ81" s="176">
        <f>BE81</f>
        <v>3869.1</v>
      </c>
      <c r="AR81" s="176">
        <f t="shared" si="86"/>
        <v>10317.700000000001</v>
      </c>
      <c r="AS81" s="174">
        <f t="shared" si="61"/>
        <v>2579.4</v>
      </c>
      <c r="AT81" s="176"/>
      <c r="AU81" s="176">
        <f t="shared" si="87"/>
        <v>2579.4</v>
      </c>
      <c r="AV81" s="176"/>
      <c r="AW81" s="345">
        <f t="shared" si="63"/>
        <v>21140.6</v>
      </c>
      <c r="AX81" s="176">
        <f t="shared" si="88"/>
        <v>12897.1</v>
      </c>
      <c r="AY81" s="176"/>
      <c r="AZ81" s="176">
        <f>BL81</f>
        <v>8243.5</v>
      </c>
      <c r="BA81" s="176">
        <v>6448.6</v>
      </c>
      <c r="BB81" s="176">
        <v>6448.5</v>
      </c>
      <c r="BC81" s="176">
        <v>6448.6</v>
      </c>
      <c r="BD81" s="176">
        <f>6448.6*2</f>
        <v>12897.2</v>
      </c>
      <c r="BE81" s="176">
        <v>3869.1</v>
      </c>
      <c r="BF81" s="176">
        <v>10317.700000000001</v>
      </c>
      <c r="BG81" s="176">
        <v>2579.5</v>
      </c>
      <c r="BH81" s="176">
        <v>2579.4</v>
      </c>
      <c r="BI81" s="176">
        <v>6448.6</v>
      </c>
      <c r="BJ81" s="176">
        <v>12897.1</v>
      </c>
      <c r="BK81" s="176"/>
      <c r="BL81" s="176">
        <f>5019.2+3224.3</f>
        <v>8243.5</v>
      </c>
      <c r="BM81" s="346">
        <f t="shared" si="73"/>
        <v>79177.8</v>
      </c>
      <c r="BN81" s="337"/>
      <c r="BO81" s="170">
        <f t="shared" si="77"/>
        <v>97.203510619882962</v>
      </c>
      <c r="BP81" s="102">
        <f t="shared" si="82"/>
        <v>-2277.8999999999942</v>
      </c>
      <c r="BQ81" s="186">
        <f t="shared" si="78"/>
        <v>97.203510619882962</v>
      </c>
      <c r="BR81" s="186">
        <f t="shared" si="71"/>
        <v>-2277.8999999999942</v>
      </c>
      <c r="BS81" s="186">
        <f t="shared" si="74"/>
        <v>102.56842727064281</v>
      </c>
      <c r="BT81" s="186">
        <f t="shared" si="70"/>
        <v>1982.6999999999971</v>
      </c>
      <c r="BU81" s="554"/>
    </row>
    <row r="82" spans="1:73" s="547" customFormat="1" ht="91.5" customHeight="1" outlineLevel="7" x14ac:dyDescent="0.25">
      <c r="A82" s="8" t="s">
        <v>54</v>
      </c>
      <c r="B82" s="11" t="s">
        <v>128</v>
      </c>
      <c r="C82" s="20" t="s">
        <v>57</v>
      </c>
      <c r="D82" s="68"/>
      <c r="E82" s="68"/>
      <c r="F82" s="176">
        <v>111.7</v>
      </c>
      <c r="G82" s="176"/>
      <c r="H82" s="176"/>
      <c r="I82" s="176">
        <v>111.6</v>
      </c>
      <c r="J82" s="176"/>
      <c r="K82" s="176"/>
      <c r="L82" s="176">
        <v>111.7</v>
      </c>
      <c r="M82" s="176"/>
      <c r="N82" s="176">
        <v>-111.7</v>
      </c>
      <c r="O82" s="176"/>
      <c r="P82" s="174"/>
      <c r="Q82" s="174"/>
      <c r="R82" s="176">
        <f t="shared" si="79"/>
        <v>223.3</v>
      </c>
      <c r="S82" s="324">
        <v>232.2</v>
      </c>
      <c r="T82" s="324">
        <f t="shared" si="72"/>
        <v>368.9</v>
      </c>
      <c r="U82" s="176"/>
      <c r="V82" s="176"/>
      <c r="W82" s="176"/>
      <c r="X82" s="176">
        <v>232.2</v>
      </c>
      <c r="Y82" s="176"/>
      <c r="Z82" s="176"/>
      <c r="AA82" s="176"/>
      <c r="AB82" s="176"/>
      <c r="AC82" s="176"/>
      <c r="AD82" s="176"/>
      <c r="AE82" s="176">
        <v>136.69999999999999</v>
      </c>
      <c r="AF82" s="176">
        <f>-232.2+136.7</f>
        <v>-95.5</v>
      </c>
      <c r="AG82" s="346"/>
      <c r="AH82" s="337">
        <v>485.2</v>
      </c>
      <c r="AI82" s="170">
        <v>242.6</v>
      </c>
      <c r="AJ82" s="337">
        <f t="shared" si="80"/>
        <v>-60.600000000000009</v>
      </c>
      <c r="AK82" s="319">
        <f t="shared" si="81"/>
        <v>0</v>
      </c>
      <c r="AL82" s="324"/>
      <c r="AM82" s="324">
        <f t="shared" si="84"/>
        <v>0</v>
      </c>
      <c r="AN82" s="324">
        <f t="shared" si="84"/>
        <v>0</v>
      </c>
      <c r="AO82" s="318">
        <f t="shared" si="58"/>
        <v>121.3</v>
      </c>
      <c r="AP82" s="324">
        <f t="shared" si="85"/>
        <v>121.3</v>
      </c>
      <c r="AQ82" s="324"/>
      <c r="AR82" s="176">
        <f t="shared" si="86"/>
        <v>0</v>
      </c>
      <c r="AS82" s="174">
        <f t="shared" si="61"/>
        <v>0</v>
      </c>
      <c r="AT82" s="176"/>
      <c r="AU82" s="176">
        <f t="shared" si="87"/>
        <v>0</v>
      </c>
      <c r="AV82" s="176"/>
      <c r="AW82" s="345">
        <f t="shared" si="63"/>
        <v>-181.9</v>
      </c>
      <c r="AX82" s="174"/>
      <c r="AY82" s="176"/>
      <c r="AZ82" s="176">
        <f>BL82</f>
        <v>-181.9</v>
      </c>
      <c r="BA82" s="176"/>
      <c r="BB82" s="176"/>
      <c r="BC82" s="176"/>
      <c r="BD82" s="176">
        <v>121.3</v>
      </c>
      <c r="BE82" s="176"/>
      <c r="BF82" s="176"/>
      <c r="BG82" s="176">
        <v>60.6</v>
      </c>
      <c r="BH82" s="176"/>
      <c r="BI82" s="176"/>
      <c r="BJ82" s="176"/>
      <c r="BK82" s="176"/>
      <c r="BL82" s="176">
        <v>-181.9</v>
      </c>
      <c r="BM82" s="346">
        <f t="shared" si="73"/>
        <v>0</v>
      </c>
      <c r="BN82" s="337"/>
      <c r="BO82" s="170">
        <f t="shared" si="77"/>
        <v>0</v>
      </c>
      <c r="BP82" s="102">
        <f t="shared" si="82"/>
        <v>-485.2</v>
      </c>
      <c r="BQ82" s="186">
        <f t="shared" si="78"/>
        <v>0</v>
      </c>
      <c r="BR82" s="186">
        <f t="shared" si="71"/>
        <v>-242.6</v>
      </c>
      <c r="BS82" s="186"/>
      <c r="BT82" s="186">
        <f t="shared" si="70"/>
        <v>0</v>
      </c>
      <c r="BU82" s="554"/>
    </row>
    <row r="83" spans="1:73" s="547" customFormat="1" ht="90.75" customHeight="1" outlineLevel="7" x14ac:dyDescent="0.25">
      <c r="A83" s="8" t="s">
        <v>54</v>
      </c>
      <c r="B83" s="11" t="s">
        <v>129</v>
      </c>
      <c r="C83" s="10" t="s">
        <v>58</v>
      </c>
      <c r="D83" s="68"/>
      <c r="E83" s="68"/>
      <c r="F83" s="176">
        <v>191.7</v>
      </c>
      <c r="G83" s="176"/>
      <c r="H83" s="176"/>
      <c r="I83" s="176">
        <v>191.8</v>
      </c>
      <c r="J83" s="176"/>
      <c r="K83" s="176">
        <v>-0.1</v>
      </c>
      <c r="L83" s="176">
        <v>191.8</v>
      </c>
      <c r="M83" s="176"/>
      <c r="N83" s="176"/>
      <c r="O83" s="176">
        <v>191.7</v>
      </c>
      <c r="P83" s="174"/>
      <c r="Q83" s="174"/>
      <c r="R83" s="176">
        <f t="shared" si="79"/>
        <v>766.90000000000009</v>
      </c>
      <c r="S83" s="324">
        <v>931</v>
      </c>
      <c r="T83" s="324">
        <f t="shared" si="72"/>
        <v>931</v>
      </c>
      <c r="U83" s="176">
        <v>232.7</v>
      </c>
      <c r="V83" s="176"/>
      <c r="W83" s="176"/>
      <c r="X83" s="176">
        <v>232.7</v>
      </c>
      <c r="Y83" s="176"/>
      <c r="Z83" s="176">
        <v>30</v>
      </c>
      <c r="AA83" s="176">
        <v>202.8</v>
      </c>
      <c r="AB83" s="176"/>
      <c r="AC83" s="176">
        <v>0.1</v>
      </c>
      <c r="AD83" s="176">
        <v>232.7</v>
      </c>
      <c r="AE83" s="176"/>
      <c r="AF83" s="176"/>
      <c r="AG83" s="346">
        <f t="shared" si="83"/>
        <v>931</v>
      </c>
      <c r="AH83" s="337">
        <v>1014</v>
      </c>
      <c r="AI83" s="335">
        <v>1014</v>
      </c>
      <c r="AJ83" s="337">
        <f t="shared" si="80"/>
        <v>507</v>
      </c>
      <c r="AK83" s="319">
        <f t="shared" si="81"/>
        <v>0</v>
      </c>
      <c r="AL83" s="324"/>
      <c r="AM83" s="324">
        <f t="shared" si="84"/>
        <v>0</v>
      </c>
      <c r="AN83" s="324">
        <f t="shared" si="84"/>
        <v>0</v>
      </c>
      <c r="AO83" s="318">
        <f t="shared" si="58"/>
        <v>253.5</v>
      </c>
      <c r="AP83" s="324">
        <f t="shared" si="85"/>
        <v>253.5</v>
      </c>
      <c r="AQ83" s="324"/>
      <c r="AR83" s="176">
        <f t="shared" si="86"/>
        <v>0</v>
      </c>
      <c r="AS83" s="174">
        <f t="shared" si="61"/>
        <v>0</v>
      </c>
      <c r="AT83" s="176"/>
      <c r="AU83" s="176">
        <f t="shared" si="87"/>
        <v>0</v>
      </c>
      <c r="AV83" s="176"/>
      <c r="AW83" s="345">
        <f t="shared" si="63"/>
        <v>253.5</v>
      </c>
      <c r="AX83" s="176">
        <f>BJ83</f>
        <v>253.5</v>
      </c>
      <c r="AY83" s="176"/>
      <c r="AZ83" s="176"/>
      <c r="BA83" s="176">
        <v>253.5</v>
      </c>
      <c r="BB83" s="176"/>
      <c r="BC83" s="176"/>
      <c r="BD83" s="176">
        <v>253.5</v>
      </c>
      <c r="BE83" s="176"/>
      <c r="BF83" s="176"/>
      <c r="BG83" s="176">
        <v>253.5</v>
      </c>
      <c r="BH83" s="176"/>
      <c r="BI83" s="176"/>
      <c r="BJ83" s="176">
        <v>253.5</v>
      </c>
      <c r="BK83" s="176"/>
      <c r="BL83" s="176"/>
      <c r="BM83" s="346">
        <f t="shared" si="73"/>
        <v>1014</v>
      </c>
      <c r="BN83" s="337"/>
      <c r="BO83" s="170">
        <f t="shared" si="77"/>
        <v>100</v>
      </c>
      <c r="BP83" s="102">
        <f t="shared" si="82"/>
        <v>0</v>
      </c>
      <c r="BQ83" s="186">
        <f t="shared" si="78"/>
        <v>100</v>
      </c>
      <c r="BR83" s="186">
        <f t="shared" si="71"/>
        <v>0</v>
      </c>
      <c r="BS83" s="186">
        <f>BM83/AG83*100</f>
        <v>108.91514500537056</v>
      </c>
      <c r="BT83" s="186">
        <f t="shared" si="70"/>
        <v>83</v>
      </c>
      <c r="BU83" s="554"/>
    </row>
    <row r="84" spans="1:73" s="547" customFormat="1" ht="103.5" customHeight="1" outlineLevel="7" x14ac:dyDescent="0.25">
      <c r="A84" s="8" t="s">
        <v>54</v>
      </c>
      <c r="B84" s="331" t="s">
        <v>450</v>
      </c>
      <c r="C84" s="10" t="s">
        <v>302</v>
      </c>
      <c r="D84" s="68"/>
      <c r="E84" s="68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4"/>
      <c r="Q84" s="174"/>
      <c r="R84" s="176">
        <f t="shared" si="79"/>
        <v>0</v>
      </c>
      <c r="S84" s="324">
        <v>722</v>
      </c>
      <c r="T84" s="324">
        <f t="shared" si="72"/>
        <v>658</v>
      </c>
      <c r="U84" s="176"/>
      <c r="V84" s="176"/>
      <c r="W84" s="176"/>
      <c r="X84" s="176"/>
      <c r="Y84" s="176">
        <v>36</v>
      </c>
      <c r="Z84" s="176">
        <v>15</v>
      </c>
      <c r="AA84" s="176">
        <v>511</v>
      </c>
      <c r="AB84" s="176">
        <v>16</v>
      </c>
      <c r="AC84" s="176">
        <v>16</v>
      </c>
      <c r="AD84" s="176">
        <v>32</v>
      </c>
      <c r="AE84" s="176">
        <v>32</v>
      </c>
      <c r="AF84" s="176">
        <v>46</v>
      </c>
      <c r="AG84" s="346">
        <f t="shared" si="83"/>
        <v>704</v>
      </c>
      <c r="AH84" s="337">
        <v>364</v>
      </c>
      <c r="AI84" s="170">
        <v>0</v>
      </c>
      <c r="AJ84" s="337">
        <f t="shared" si="80"/>
        <v>0</v>
      </c>
      <c r="AK84" s="319">
        <f t="shared" si="81"/>
        <v>0</v>
      </c>
      <c r="AL84" s="324"/>
      <c r="AM84" s="324">
        <f t="shared" si="84"/>
        <v>0</v>
      </c>
      <c r="AN84" s="324">
        <f t="shared" si="84"/>
        <v>0</v>
      </c>
      <c r="AO84" s="318">
        <f t="shared" si="58"/>
        <v>0</v>
      </c>
      <c r="AP84" s="324">
        <f t="shared" si="85"/>
        <v>0</v>
      </c>
      <c r="AQ84" s="324"/>
      <c r="AR84" s="176">
        <f t="shared" si="86"/>
        <v>0</v>
      </c>
      <c r="AS84" s="174">
        <f t="shared" si="61"/>
        <v>0</v>
      </c>
      <c r="AT84" s="176"/>
      <c r="AU84" s="176">
        <f t="shared" si="87"/>
        <v>0</v>
      </c>
      <c r="AV84" s="176"/>
      <c r="AW84" s="345">
        <f t="shared" si="63"/>
        <v>0</v>
      </c>
      <c r="AX84" s="174"/>
      <c r="AY84" s="176"/>
      <c r="AZ84" s="176"/>
      <c r="BA84" s="176"/>
      <c r="BB84" s="176"/>
      <c r="BC84" s="176"/>
      <c r="BD84" s="176"/>
      <c r="BE84" s="176"/>
      <c r="BF84" s="176"/>
      <c r="BG84" s="176"/>
      <c r="BH84" s="176"/>
      <c r="BI84" s="176"/>
      <c r="BJ84" s="176"/>
      <c r="BK84" s="176"/>
      <c r="BL84" s="176"/>
      <c r="BM84" s="346">
        <f t="shared" si="73"/>
        <v>0</v>
      </c>
      <c r="BN84" s="337"/>
      <c r="BO84" s="170">
        <f t="shared" si="77"/>
        <v>0</v>
      </c>
      <c r="BP84" s="102">
        <f t="shared" si="82"/>
        <v>-364</v>
      </c>
      <c r="BQ84" s="186"/>
      <c r="BR84" s="186">
        <f t="shared" si="71"/>
        <v>0</v>
      </c>
      <c r="BS84" s="186">
        <f>BM84/AG84*100</f>
        <v>0</v>
      </c>
      <c r="BT84" s="186">
        <f t="shared" si="70"/>
        <v>-704</v>
      </c>
      <c r="BU84" s="554"/>
    </row>
    <row r="85" spans="1:73" s="547" customFormat="1" ht="45" outlineLevel="7" x14ac:dyDescent="0.25">
      <c r="A85" s="8" t="s">
        <v>54</v>
      </c>
      <c r="B85" s="11" t="s">
        <v>130</v>
      </c>
      <c r="C85" s="10" t="s">
        <v>63</v>
      </c>
      <c r="D85" s="68"/>
      <c r="E85" s="68"/>
      <c r="F85" s="176"/>
      <c r="G85" s="176"/>
      <c r="H85" s="176"/>
      <c r="I85" s="176">
        <v>38.1</v>
      </c>
      <c r="J85" s="176">
        <v>168.7</v>
      </c>
      <c r="K85" s="176"/>
      <c r="L85" s="176"/>
      <c r="M85" s="176"/>
      <c r="N85" s="176"/>
      <c r="O85" s="176"/>
      <c r="P85" s="174"/>
      <c r="Q85" s="174"/>
      <c r="R85" s="176">
        <f t="shared" si="79"/>
        <v>206.79999999999998</v>
      </c>
      <c r="S85" s="324">
        <v>251.4</v>
      </c>
      <c r="T85" s="324">
        <f t="shared" si="72"/>
        <v>251.4</v>
      </c>
      <c r="U85" s="176">
        <v>251.4</v>
      </c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346">
        <f t="shared" si="83"/>
        <v>251.4</v>
      </c>
      <c r="AH85" s="337">
        <v>531.20000000000005</v>
      </c>
      <c r="AI85" s="335">
        <v>531.20000000000005</v>
      </c>
      <c r="AJ85" s="337">
        <f t="shared" si="80"/>
        <v>0</v>
      </c>
      <c r="AK85" s="319">
        <f t="shared" si="81"/>
        <v>0</v>
      </c>
      <c r="AL85" s="324"/>
      <c r="AM85" s="324">
        <f t="shared" si="84"/>
        <v>0</v>
      </c>
      <c r="AN85" s="324">
        <f t="shared" si="84"/>
        <v>0</v>
      </c>
      <c r="AO85" s="318">
        <f t="shared" si="58"/>
        <v>0</v>
      </c>
      <c r="AP85" s="324">
        <f t="shared" si="85"/>
        <v>0</v>
      </c>
      <c r="AQ85" s="324"/>
      <c r="AR85" s="176">
        <f t="shared" si="86"/>
        <v>0</v>
      </c>
      <c r="AS85" s="174">
        <f t="shared" si="61"/>
        <v>0</v>
      </c>
      <c r="AT85" s="176"/>
      <c r="AU85" s="176">
        <f t="shared" si="87"/>
        <v>0</v>
      </c>
      <c r="AV85" s="176"/>
      <c r="AW85" s="345">
        <f t="shared" si="63"/>
        <v>0</v>
      </c>
      <c r="AX85" s="174"/>
      <c r="AY85" s="176"/>
      <c r="AZ85" s="176"/>
      <c r="BA85" s="176">
        <v>531.20000000000005</v>
      </c>
      <c r="BB85" s="176"/>
      <c r="BC85" s="176"/>
      <c r="BD85" s="176"/>
      <c r="BE85" s="176"/>
      <c r="BF85" s="176"/>
      <c r="BG85" s="176"/>
      <c r="BH85" s="176"/>
      <c r="BI85" s="176"/>
      <c r="BJ85" s="176"/>
      <c r="BK85" s="176"/>
      <c r="BL85" s="176"/>
      <c r="BM85" s="346">
        <f t="shared" si="73"/>
        <v>531.20000000000005</v>
      </c>
      <c r="BN85" s="337"/>
      <c r="BO85" s="170">
        <f t="shared" si="77"/>
        <v>100</v>
      </c>
      <c r="BP85" s="102">
        <f t="shared" si="82"/>
        <v>0</v>
      </c>
      <c r="BQ85" s="186">
        <f>BM85/AI85*100</f>
        <v>100</v>
      </c>
      <c r="BR85" s="186">
        <f t="shared" si="71"/>
        <v>0</v>
      </c>
      <c r="BS85" s="186">
        <f>BM85/AG85*100</f>
        <v>211.29673826571204</v>
      </c>
      <c r="BT85" s="186">
        <f t="shared" si="70"/>
        <v>279.80000000000007</v>
      </c>
      <c r="BU85" s="554"/>
    </row>
    <row r="86" spans="1:73" s="547" customFormat="1" ht="121.5" customHeight="1" outlineLevel="7" x14ac:dyDescent="0.25">
      <c r="A86" s="8" t="s">
        <v>54</v>
      </c>
      <c r="B86" s="11" t="s">
        <v>131</v>
      </c>
      <c r="C86" s="10" t="s">
        <v>68</v>
      </c>
      <c r="D86" s="68"/>
      <c r="E86" s="68"/>
      <c r="F86" s="176">
        <v>120.2</v>
      </c>
      <c r="G86" s="176"/>
      <c r="H86" s="176"/>
      <c r="I86" s="176">
        <v>120.1</v>
      </c>
      <c r="J86" s="176"/>
      <c r="K86" s="176"/>
      <c r="L86" s="176">
        <v>120.1</v>
      </c>
      <c r="M86" s="176"/>
      <c r="N86" s="176">
        <v>0.1</v>
      </c>
      <c r="O86" s="176">
        <v>120.1</v>
      </c>
      <c r="P86" s="174"/>
      <c r="Q86" s="174"/>
      <c r="R86" s="176">
        <f t="shared" si="79"/>
        <v>480.6</v>
      </c>
      <c r="S86" s="324">
        <v>772.7</v>
      </c>
      <c r="T86" s="324">
        <f t="shared" si="72"/>
        <v>772.7</v>
      </c>
      <c r="U86" s="176">
        <v>156.4</v>
      </c>
      <c r="V86" s="176"/>
      <c r="W86" s="176"/>
      <c r="X86" s="176">
        <v>156.4</v>
      </c>
      <c r="Y86" s="176"/>
      <c r="Z86" s="176"/>
      <c r="AA86" s="176">
        <v>266.8</v>
      </c>
      <c r="AB86" s="176"/>
      <c r="AC86" s="176">
        <v>-0.1</v>
      </c>
      <c r="AD86" s="176">
        <v>193.2</v>
      </c>
      <c r="AE86" s="176"/>
      <c r="AF86" s="176"/>
      <c r="AG86" s="346">
        <f t="shared" si="83"/>
        <v>772.7</v>
      </c>
      <c r="AH86" s="337">
        <v>999.8</v>
      </c>
      <c r="AI86" s="170">
        <v>999.8</v>
      </c>
      <c r="AJ86" s="337">
        <f t="shared" si="80"/>
        <v>499.9</v>
      </c>
      <c r="AK86" s="319">
        <f t="shared" si="81"/>
        <v>0</v>
      </c>
      <c r="AL86" s="324"/>
      <c r="AM86" s="324">
        <f t="shared" si="84"/>
        <v>0</v>
      </c>
      <c r="AN86" s="324">
        <f t="shared" si="84"/>
        <v>0</v>
      </c>
      <c r="AO86" s="318">
        <f t="shared" si="58"/>
        <v>249.9</v>
      </c>
      <c r="AP86" s="324">
        <f t="shared" si="85"/>
        <v>249.9</v>
      </c>
      <c r="AQ86" s="324"/>
      <c r="AR86" s="176">
        <f t="shared" si="86"/>
        <v>0</v>
      </c>
      <c r="AS86" s="174">
        <f t="shared" si="61"/>
        <v>0</v>
      </c>
      <c r="AT86" s="176"/>
      <c r="AU86" s="176">
        <f t="shared" si="87"/>
        <v>0</v>
      </c>
      <c r="AV86" s="176"/>
      <c r="AW86" s="345">
        <f t="shared" si="63"/>
        <v>250</v>
      </c>
      <c r="AX86" s="176">
        <f>BJ86</f>
        <v>250</v>
      </c>
      <c r="AY86" s="176"/>
      <c r="AZ86" s="176"/>
      <c r="BA86" s="176">
        <v>250</v>
      </c>
      <c r="BB86" s="176"/>
      <c r="BC86" s="176"/>
      <c r="BD86" s="176">
        <v>249.9</v>
      </c>
      <c r="BE86" s="176"/>
      <c r="BF86" s="176"/>
      <c r="BG86" s="176">
        <v>249.9</v>
      </c>
      <c r="BH86" s="176"/>
      <c r="BI86" s="176"/>
      <c r="BJ86" s="176">
        <v>250</v>
      </c>
      <c r="BK86" s="176"/>
      <c r="BL86" s="176"/>
      <c r="BM86" s="346">
        <f t="shared" si="73"/>
        <v>999.8</v>
      </c>
      <c r="BN86" s="337"/>
      <c r="BO86" s="170">
        <f t="shared" si="77"/>
        <v>100</v>
      </c>
      <c r="BP86" s="102">
        <f t="shared" si="82"/>
        <v>0</v>
      </c>
      <c r="BQ86" s="186">
        <f>BM86/AI86*100</f>
        <v>100</v>
      </c>
      <c r="BR86" s="186">
        <f t="shared" si="71"/>
        <v>0</v>
      </c>
      <c r="BS86" s="186">
        <f>BM86/AG86*100</f>
        <v>129.3904490746732</v>
      </c>
      <c r="BT86" s="186">
        <f t="shared" si="70"/>
        <v>227.09999999999991</v>
      </c>
      <c r="BU86" s="554"/>
    </row>
    <row r="87" spans="1:73" s="547" customFormat="1" ht="120" outlineLevel="7" x14ac:dyDescent="0.25">
      <c r="A87" s="8"/>
      <c r="B87" s="237" t="s">
        <v>260</v>
      </c>
      <c r="C87" s="10" t="s">
        <v>70</v>
      </c>
      <c r="D87" s="68"/>
      <c r="E87" s="68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4"/>
      <c r="Q87" s="174"/>
      <c r="R87" s="176"/>
      <c r="S87" s="324"/>
      <c r="T87" s="324">
        <f t="shared" si="72"/>
        <v>0</v>
      </c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346"/>
      <c r="AH87" s="337">
        <v>15</v>
      </c>
      <c r="AI87" s="170">
        <v>0</v>
      </c>
      <c r="AJ87" s="337"/>
      <c r="AK87" s="319"/>
      <c r="AL87" s="324"/>
      <c r="AM87" s="324">
        <f t="shared" si="84"/>
        <v>0</v>
      </c>
      <c r="AN87" s="324">
        <f t="shared" si="84"/>
        <v>0</v>
      </c>
      <c r="AO87" s="318"/>
      <c r="AP87" s="324">
        <f t="shared" si="85"/>
        <v>0</v>
      </c>
      <c r="AQ87" s="324"/>
      <c r="AR87" s="176">
        <f t="shared" si="86"/>
        <v>0</v>
      </c>
      <c r="AS87" s="174"/>
      <c r="AT87" s="176"/>
      <c r="AU87" s="176">
        <f t="shared" si="87"/>
        <v>0</v>
      </c>
      <c r="AV87" s="176"/>
      <c r="AW87" s="345"/>
      <c r="AX87" s="174"/>
      <c r="AY87" s="176"/>
      <c r="AZ87" s="176"/>
      <c r="BA87" s="285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346">
        <f t="shared" si="73"/>
        <v>0</v>
      </c>
      <c r="BN87" s="337"/>
      <c r="BO87" s="170">
        <f t="shared" si="77"/>
        <v>0</v>
      </c>
      <c r="BP87" s="102">
        <f t="shared" si="82"/>
        <v>-15</v>
      </c>
      <c r="BQ87" s="186"/>
      <c r="BR87" s="186">
        <f t="shared" si="71"/>
        <v>0</v>
      </c>
      <c r="BS87" s="186"/>
      <c r="BT87" s="186">
        <f t="shared" si="70"/>
        <v>0</v>
      </c>
      <c r="BU87" s="554"/>
    </row>
    <row r="88" spans="1:73" s="547" customFormat="1" ht="120" outlineLevel="7" x14ac:dyDescent="0.25">
      <c r="A88" s="8"/>
      <c r="B88" s="11" t="s">
        <v>567</v>
      </c>
      <c r="C88" s="10" t="s">
        <v>487</v>
      </c>
      <c r="D88" s="68"/>
      <c r="E88" s="68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4"/>
      <c r="Q88" s="174"/>
      <c r="R88" s="176"/>
      <c r="S88" s="324"/>
      <c r="T88" s="324">
        <f t="shared" si="72"/>
        <v>0</v>
      </c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346">
        <v>182.3</v>
      </c>
      <c r="AH88" s="337">
        <v>0</v>
      </c>
      <c r="AI88" s="335">
        <v>546.79999999999995</v>
      </c>
      <c r="AJ88" s="337"/>
      <c r="AK88" s="319"/>
      <c r="AL88" s="324"/>
      <c r="AM88" s="324">
        <f t="shared" si="84"/>
        <v>91.1</v>
      </c>
      <c r="AN88" s="324">
        <f t="shared" si="84"/>
        <v>45.6</v>
      </c>
      <c r="AO88" s="318"/>
      <c r="AP88" s="324">
        <f t="shared" si="85"/>
        <v>45.6</v>
      </c>
      <c r="AQ88" s="176">
        <f>BE88</f>
        <v>141.19999999999999</v>
      </c>
      <c r="AR88" s="176">
        <f t="shared" si="86"/>
        <v>0</v>
      </c>
      <c r="AS88" s="174"/>
      <c r="AT88" s="176"/>
      <c r="AU88" s="176">
        <f t="shared" si="87"/>
        <v>18.3</v>
      </c>
      <c r="AV88" s="176"/>
      <c r="AW88" s="345"/>
      <c r="AX88" s="176">
        <f>BJ88</f>
        <v>45.6</v>
      </c>
      <c r="AY88" s="176">
        <f>BK88</f>
        <v>45.6</v>
      </c>
      <c r="AZ88" s="176"/>
      <c r="BA88" s="285"/>
      <c r="BB88" s="176">
        <v>91.1</v>
      </c>
      <c r="BC88" s="176">
        <v>45.6</v>
      </c>
      <c r="BD88" s="176">
        <v>45.6</v>
      </c>
      <c r="BE88" s="176">
        <v>141.19999999999999</v>
      </c>
      <c r="BF88" s="176"/>
      <c r="BG88" s="176">
        <v>22.8</v>
      </c>
      <c r="BH88" s="176">
        <v>18.3</v>
      </c>
      <c r="BI88" s="176">
        <v>45.5</v>
      </c>
      <c r="BJ88" s="176">
        <v>45.6</v>
      </c>
      <c r="BK88" s="176">
        <v>45.6</v>
      </c>
      <c r="BL88" s="176">
        <v>45.5</v>
      </c>
      <c r="BM88" s="346">
        <f t="shared" si="73"/>
        <v>546.80000000000007</v>
      </c>
      <c r="BN88" s="337"/>
      <c r="BO88" s="170"/>
      <c r="BP88" s="102">
        <f t="shared" si="82"/>
        <v>546.80000000000007</v>
      </c>
      <c r="BQ88" s="186">
        <f>BM88/AI88*100</f>
        <v>100.00000000000003</v>
      </c>
      <c r="BR88" s="186">
        <f t="shared" si="71"/>
        <v>0</v>
      </c>
      <c r="BS88" s="186">
        <f t="shared" ref="BS88:BS103" si="89">BM88/AG88*100</f>
        <v>299.94514536478334</v>
      </c>
      <c r="BT88" s="186">
        <f t="shared" si="70"/>
        <v>364.50000000000006</v>
      </c>
      <c r="BU88" s="554"/>
    </row>
    <row r="89" spans="1:73" s="547" customFormat="1" ht="77.25" hidden="1" customHeight="1" outlineLevel="7" x14ac:dyDescent="0.25">
      <c r="A89" s="8" t="s">
        <v>54</v>
      </c>
      <c r="B89" s="12"/>
      <c r="C89" s="10"/>
      <c r="D89" s="68"/>
      <c r="E89" s="68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4"/>
      <c r="R89" s="176"/>
      <c r="S89" s="324"/>
      <c r="T89" s="324">
        <f t="shared" si="72"/>
        <v>0</v>
      </c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346"/>
      <c r="AH89" s="337"/>
      <c r="AI89" s="170"/>
      <c r="AJ89" s="337">
        <f t="shared" si="80"/>
        <v>0</v>
      </c>
      <c r="AK89" s="319">
        <f t="shared" si="81"/>
        <v>0</v>
      </c>
      <c r="AL89" s="324"/>
      <c r="AM89" s="324">
        <f t="shared" si="84"/>
        <v>0</v>
      </c>
      <c r="AN89" s="324">
        <f t="shared" si="84"/>
        <v>0</v>
      </c>
      <c r="AO89" s="318">
        <f t="shared" si="58"/>
        <v>0</v>
      </c>
      <c r="AP89" s="324">
        <f t="shared" si="85"/>
        <v>0</v>
      </c>
      <c r="AQ89" s="324"/>
      <c r="AR89" s="176">
        <f t="shared" si="86"/>
        <v>0</v>
      </c>
      <c r="AS89" s="174">
        <f t="shared" si="61"/>
        <v>0</v>
      </c>
      <c r="AT89" s="176"/>
      <c r="AU89" s="176">
        <f t="shared" si="87"/>
        <v>0</v>
      </c>
      <c r="AV89" s="176"/>
      <c r="AW89" s="345">
        <f t="shared" si="63"/>
        <v>0</v>
      </c>
      <c r="AX89" s="174"/>
      <c r="AY89" s="176"/>
      <c r="AZ89" s="176"/>
      <c r="BA89" s="285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346">
        <f t="shared" si="73"/>
        <v>0</v>
      </c>
      <c r="BN89" s="337"/>
      <c r="BO89" s="170" t="e">
        <f t="shared" ref="BO89:BO94" si="90">BM89/AH89*100</f>
        <v>#DIV/0!</v>
      </c>
      <c r="BP89" s="102">
        <f t="shared" si="82"/>
        <v>0</v>
      </c>
      <c r="BQ89" s="186" t="e">
        <f>BM89/AI89*100</f>
        <v>#DIV/0!</v>
      </c>
      <c r="BR89" s="186">
        <f t="shared" si="71"/>
        <v>0</v>
      </c>
      <c r="BS89" s="186" t="e">
        <f t="shared" si="89"/>
        <v>#DIV/0!</v>
      </c>
      <c r="BT89" s="186">
        <f t="shared" si="70"/>
        <v>0</v>
      </c>
      <c r="BU89" s="554"/>
    </row>
    <row r="90" spans="1:73" s="547" customFormat="1" ht="66" customHeight="1" outlineLevel="7" x14ac:dyDescent="0.25">
      <c r="A90" s="8"/>
      <c r="B90" s="177" t="s">
        <v>90</v>
      </c>
      <c r="C90" s="10" t="s">
        <v>89</v>
      </c>
      <c r="D90" s="68"/>
      <c r="E90" s="68"/>
      <c r="F90" s="176"/>
      <c r="G90" s="176"/>
      <c r="H90" s="176">
        <v>4604.3</v>
      </c>
      <c r="I90" s="176"/>
      <c r="J90" s="176"/>
      <c r="K90" s="176"/>
      <c r="L90" s="176"/>
      <c r="M90" s="176"/>
      <c r="N90" s="176"/>
      <c r="O90" s="176"/>
      <c r="P90" s="174"/>
      <c r="Q90" s="174"/>
      <c r="R90" s="176">
        <f>F90+G90+H90+I90+J90+K90+L90+M90+N90+O90+P90+Q90</f>
        <v>4604.3</v>
      </c>
      <c r="S90" s="324">
        <v>3168.6</v>
      </c>
      <c r="T90" s="324">
        <f t="shared" si="72"/>
        <v>3168.6</v>
      </c>
      <c r="U90" s="176"/>
      <c r="V90" s="176"/>
      <c r="W90" s="176">
        <v>3168.6</v>
      </c>
      <c r="X90" s="176"/>
      <c r="Y90" s="176"/>
      <c r="Z90" s="176"/>
      <c r="AA90" s="176"/>
      <c r="AB90" s="176"/>
      <c r="AC90" s="176"/>
      <c r="AD90" s="176"/>
      <c r="AE90" s="176"/>
      <c r="AF90" s="176"/>
      <c r="AG90" s="346">
        <f>U90+V90+W90+X90+Y90+Z90+AA90+AB90+AC90+AF90+AE90+AD90</f>
        <v>3168.6</v>
      </c>
      <c r="AH90" s="337">
        <v>3111.1</v>
      </c>
      <c r="AI90" s="170">
        <v>3356.4</v>
      </c>
      <c r="AJ90" s="337">
        <f t="shared" si="80"/>
        <v>3072</v>
      </c>
      <c r="AK90" s="319">
        <f t="shared" si="81"/>
        <v>0</v>
      </c>
      <c r="AL90" s="324"/>
      <c r="AM90" s="324">
        <f t="shared" si="84"/>
        <v>0</v>
      </c>
      <c r="AN90" s="324">
        <f t="shared" si="84"/>
        <v>0</v>
      </c>
      <c r="AO90" s="318">
        <f t="shared" si="58"/>
        <v>0</v>
      </c>
      <c r="AP90" s="324">
        <f t="shared" si="85"/>
        <v>0</v>
      </c>
      <c r="AQ90" s="324"/>
      <c r="AR90" s="176">
        <f t="shared" si="86"/>
        <v>0</v>
      </c>
      <c r="AS90" s="174">
        <f t="shared" si="61"/>
        <v>3072</v>
      </c>
      <c r="AT90" s="176"/>
      <c r="AU90" s="176">
        <f t="shared" si="87"/>
        <v>3072</v>
      </c>
      <c r="AV90" s="176"/>
      <c r="AW90" s="345">
        <f t="shared" si="63"/>
        <v>0</v>
      </c>
      <c r="AX90" s="174"/>
      <c r="AY90" s="176"/>
      <c r="AZ90" s="176"/>
      <c r="BA90" s="176"/>
      <c r="BB90" s="176"/>
      <c r="BC90" s="176"/>
      <c r="BD90" s="176"/>
      <c r="BE90" s="176"/>
      <c r="BF90" s="176"/>
      <c r="BG90" s="176"/>
      <c r="BH90" s="176">
        <v>3072</v>
      </c>
      <c r="BI90" s="176">
        <v>284.39999999999998</v>
      </c>
      <c r="BJ90" s="176"/>
      <c r="BK90" s="176"/>
      <c r="BL90" s="176"/>
      <c r="BM90" s="346">
        <f t="shared" ref="BM90:BM98" si="91">SUM(BA90:BL90)</f>
        <v>3356.4</v>
      </c>
      <c r="BN90" s="337"/>
      <c r="BO90" s="170">
        <f t="shared" si="90"/>
        <v>107.8846710166822</v>
      </c>
      <c r="BP90" s="102">
        <f t="shared" si="82"/>
        <v>245.30000000000018</v>
      </c>
      <c r="BQ90" s="186">
        <f>BM90/AI90*100</f>
        <v>100</v>
      </c>
      <c r="BR90" s="186">
        <f t="shared" si="71"/>
        <v>0</v>
      </c>
      <c r="BS90" s="186">
        <f t="shared" si="89"/>
        <v>105.92690778261694</v>
      </c>
      <c r="BT90" s="186">
        <f t="shared" si="70"/>
        <v>187.80000000000018</v>
      </c>
      <c r="BU90" s="554"/>
    </row>
    <row r="91" spans="1:73" s="547" customFormat="1" ht="56.25" customHeight="1" outlineLevel="7" x14ac:dyDescent="0.25">
      <c r="A91" s="8" t="s">
        <v>86</v>
      </c>
      <c r="B91" s="9" t="s">
        <v>92</v>
      </c>
      <c r="C91" s="10" t="s">
        <v>91</v>
      </c>
      <c r="D91" s="68"/>
      <c r="E91" s="68"/>
      <c r="F91" s="176"/>
      <c r="G91" s="176"/>
      <c r="H91" s="176"/>
      <c r="I91" s="176"/>
      <c r="J91" s="176">
        <v>12.2</v>
      </c>
      <c r="K91" s="176"/>
      <c r="L91" s="176"/>
      <c r="M91" s="176"/>
      <c r="N91" s="176">
        <v>267.2</v>
      </c>
      <c r="O91" s="176">
        <v>157.80000000000001</v>
      </c>
      <c r="P91" s="174"/>
      <c r="Q91" s="176">
        <v>-0.1</v>
      </c>
      <c r="R91" s="176">
        <f>F91+G91+H91+I91+J91+K91+L91+M91+N91+O91+P91+Q91</f>
        <v>437.09999999999997</v>
      </c>
      <c r="S91" s="324">
        <v>760</v>
      </c>
      <c r="T91" s="324">
        <f t="shared" si="72"/>
        <v>760.1</v>
      </c>
      <c r="U91" s="176"/>
      <c r="V91" s="176"/>
      <c r="W91" s="176"/>
      <c r="X91" s="176"/>
      <c r="Y91" s="176"/>
      <c r="Z91" s="176"/>
      <c r="AA91" s="176">
        <v>488.6</v>
      </c>
      <c r="AB91" s="176"/>
      <c r="AC91" s="176">
        <v>271.39999999999998</v>
      </c>
      <c r="AD91" s="176"/>
      <c r="AE91" s="176">
        <v>0.1</v>
      </c>
      <c r="AF91" s="176"/>
      <c r="AG91" s="346">
        <v>760</v>
      </c>
      <c r="AH91" s="337">
        <v>197.4</v>
      </c>
      <c r="AI91" s="170">
        <v>0</v>
      </c>
      <c r="AJ91" s="337">
        <f t="shared" si="80"/>
        <v>0</v>
      </c>
      <c r="AK91" s="319">
        <f t="shared" si="81"/>
        <v>0</v>
      </c>
      <c r="AL91" s="324"/>
      <c r="AM91" s="324">
        <f t="shared" si="84"/>
        <v>0</v>
      </c>
      <c r="AN91" s="324">
        <f t="shared" si="84"/>
        <v>0</v>
      </c>
      <c r="AO91" s="318">
        <f t="shared" si="58"/>
        <v>0</v>
      </c>
      <c r="AP91" s="324">
        <f t="shared" si="85"/>
        <v>0</v>
      </c>
      <c r="AQ91" s="324"/>
      <c r="AR91" s="176">
        <f t="shared" si="86"/>
        <v>0</v>
      </c>
      <c r="AS91" s="174">
        <f t="shared" si="61"/>
        <v>0</v>
      </c>
      <c r="AT91" s="176"/>
      <c r="AU91" s="176">
        <f t="shared" si="87"/>
        <v>0</v>
      </c>
      <c r="AV91" s="176"/>
      <c r="AW91" s="345">
        <f t="shared" si="63"/>
        <v>0</v>
      </c>
      <c r="AX91" s="174"/>
      <c r="AY91" s="176"/>
      <c r="AZ91" s="176"/>
      <c r="BA91" s="176"/>
      <c r="BB91" s="176"/>
      <c r="BC91" s="176"/>
      <c r="BD91" s="176"/>
      <c r="BE91" s="176"/>
      <c r="BF91" s="176"/>
      <c r="BG91" s="176"/>
      <c r="BH91" s="176"/>
      <c r="BI91" s="176"/>
      <c r="BJ91" s="176"/>
      <c r="BK91" s="176"/>
      <c r="BL91" s="176"/>
      <c r="BM91" s="346">
        <f t="shared" si="91"/>
        <v>0</v>
      </c>
      <c r="BN91" s="337"/>
      <c r="BO91" s="170">
        <f t="shared" si="90"/>
        <v>0</v>
      </c>
      <c r="BP91" s="102">
        <f t="shared" si="82"/>
        <v>-197.4</v>
      </c>
      <c r="BQ91" s="186"/>
      <c r="BR91" s="186">
        <f t="shared" si="71"/>
        <v>0</v>
      </c>
      <c r="BS91" s="186">
        <f t="shared" si="89"/>
        <v>0</v>
      </c>
      <c r="BT91" s="186">
        <f t="shared" si="70"/>
        <v>-760</v>
      </c>
      <c r="BU91" s="554"/>
    </row>
    <row r="92" spans="1:73" s="547" customFormat="1" ht="60" outlineLevel="7" x14ac:dyDescent="0.25">
      <c r="A92" s="8" t="s">
        <v>88</v>
      </c>
      <c r="B92" s="9" t="s">
        <v>94</v>
      </c>
      <c r="C92" s="10" t="s">
        <v>456</v>
      </c>
      <c r="D92" s="68"/>
      <c r="E92" s="68"/>
      <c r="F92" s="176"/>
      <c r="G92" s="176"/>
      <c r="H92" s="176"/>
      <c r="I92" s="176">
        <v>3356.1</v>
      </c>
      <c r="J92" s="176"/>
      <c r="K92" s="176"/>
      <c r="L92" s="176"/>
      <c r="M92" s="176"/>
      <c r="N92" s="176"/>
      <c r="O92" s="176"/>
      <c r="P92" s="174"/>
      <c r="Q92" s="174"/>
      <c r="R92" s="176">
        <f>F92+G92+H92+I92+J92+K92+L92+M92+N92+O92+P92+Q92</f>
        <v>3356.1</v>
      </c>
      <c r="S92" s="324">
        <v>4371</v>
      </c>
      <c r="T92" s="324">
        <f t="shared" si="72"/>
        <v>4371</v>
      </c>
      <c r="U92" s="176"/>
      <c r="V92" s="176"/>
      <c r="W92" s="176">
        <v>4371</v>
      </c>
      <c r="X92" s="176"/>
      <c r="Y92" s="176"/>
      <c r="Z92" s="176"/>
      <c r="AA92" s="176"/>
      <c r="AB92" s="176"/>
      <c r="AC92" s="176"/>
      <c r="AD92" s="176"/>
      <c r="AE92" s="176"/>
      <c r="AF92" s="176"/>
      <c r="AG92" s="346">
        <f t="shared" ref="AG92:AG98" si="92">U92+V92+W92+X92+Y92+Z92+AA92+AB92+AC92+AF92+AE92+AD92</f>
        <v>4371</v>
      </c>
      <c r="AH92" s="337">
        <v>3459.7</v>
      </c>
      <c r="AI92" s="170">
        <v>3880.7</v>
      </c>
      <c r="AJ92" s="337">
        <f t="shared" si="80"/>
        <v>3880.7</v>
      </c>
      <c r="AK92" s="319">
        <f t="shared" si="81"/>
        <v>0</v>
      </c>
      <c r="AL92" s="324"/>
      <c r="AM92" s="324">
        <f t="shared" si="84"/>
        <v>0</v>
      </c>
      <c r="AN92" s="324">
        <f t="shared" si="84"/>
        <v>0</v>
      </c>
      <c r="AO92" s="318">
        <f t="shared" si="58"/>
        <v>3880.7</v>
      </c>
      <c r="AP92" s="324">
        <f t="shared" si="85"/>
        <v>3323.7</v>
      </c>
      <c r="AQ92" s="176">
        <f>BE92</f>
        <v>557</v>
      </c>
      <c r="AR92" s="176">
        <f t="shared" si="86"/>
        <v>0</v>
      </c>
      <c r="AS92" s="174">
        <f t="shared" si="61"/>
        <v>0</v>
      </c>
      <c r="AT92" s="176"/>
      <c r="AU92" s="176">
        <f t="shared" si="87"/>
        <v>0</v>
      </c>
      <c r="AV92" s="176"/>
      <c r="AW92" s="345">
        <f t="shared" si="63"/>
        <v>0</v>
      </c>
      <c r="AX92" s="174"/>
      <c r="AY92" s="176"/>
      <c r="AZ92" s="176"/>
      <c r="BA92" s="176"/>
      <c r="BB92" s="176"/>
      <c r="BC92" s="176"/>
      <c r="BD92" s="176">
        <v>3323.7</v>
      </c>
      <c r="BE92" s="176">
        <v>557</v>
      </c>
      <c r="BF92" s="176"/>
      <c r="BG92" s="176"/>
      <c r="BH92" s="176"/>
      <c r="BI92" s="176"/>
      <c r="BJ92" s="176"/>
      <c r="BK92" s="176"/>
      <c r="BL92" s="176"/>
      <c r="BM92" s="346">
        <f t="shared" si="91"/>
        <v>3880.7</v>
      </c>
      <c r="BN92" s="337"/>
      <c r="BO92" s="170">
        <f t="shared" si="90"/>
        <v>112.16868514611093</v>
      </c>
      <c r="BP92" s="102">
        <f t="shared" si="82"/>
        <v>421</v>
      </c>
      <c r="BQ92" s="186">
        <f>BM92/AI92*100</f>
        <v>100</v>
      </c>
      <c r="BR92" s="186">
        <f t="shared" si="71"/>
        <v>0</v>
      </c>
      <c r="BS92" s="186">
        <f t="shared" si="89"/>
        <v>88.782887211164478</v>
      </c>
      <c r="BT92" s="186">
        <f t="shared" si="70"/>
        <v>-490.30000000000018</v>
      </c>
      <c r="BU92" s="554"/>
    </row>
    <row r="93" spans="1:73" s="547" customFormat="1" ht="68.25" customHeight="1" outlineLevel="7" x14ac:dyDescent="0.25">
      <c r="A93" s="8" t="s">
        <v>95</v>
      </c>
      <c r="B93" s="9" t="s">
        <v>65</v>
      </c>
      <c r="C93" s="10" t="s">
        <v>64</v>
      </c>
      <c r="D93" s="68"/>
      <c r="E93" s="68"/>
      <c r="F93" s="176"/>
      <c r="G93" s="176">
        <v>89.6</v>
      </c>
      <c r="H93" s="176">
        <v>1454</v>
      </c>
      <c r="I93" s="176">
        <v>82.8</v>
      </c>
      <c r="J93" s="176"/>
      <c r="K93" s="176"/>
      <c r="L93" s="176"/>
      <c r="M93" s="176"/>
      <c r="N93" s="176"/>
      <c r="O93" s="176">
        <v>23</v>
      </c>
      <c r="P93" s="174"/>
      <c r="Q93" s="176">
        <v>1.9</v>
      </c>
      <c r="R93" s="176">
        <f>F93+G93+H93+I93+J93+K93+L93+M93+N93+O93+P93+Q93</f>
        <v>1651.3</v>
      </c>
      <c r="S93" s="324">
        <v>2702.6</v>
      </c>
      <c r="T93" s="324">
        <f t="shared" si="72"/>
        <v>2702.6</v>
      </c>
      <c r="U93" s="176"/>
      <c r="V93" s="176"/>
      <c r="W93" s="176">
        <v>1000.6</v>
      </c>
      <c r="X93" s="176"/>
      <c r="Y93" s="176"/>
      <c r="Z93" s="176">
        <v>1702</v>
      </c>
      <c r="AA93" s="176"/>
      <c r="AB93" s="176"/>
      <c r="AC93" s="176"/>
      <c r="AD93" s="176"/>
      <c r="AE93" s="176"/>
      <c r="AF93" s="176"/>
      <c r="AG93" s="346">
        <f t="shared" si="92"/>
        <v>2702.6</v>
      </c>
      <c r="AH93" s="337">
        <v>3302.3</v>
      </c>
      <c r="AI93" s="170">
        <f>2397+1118.8</f>
        <v>3515.8</v>
      </c>
      <c r="AJ93" s="337">
        <f t="shared" si="80"/>
        <v>1024</v>
      </c>
      <c r="AK93" s="319">
        <f t="shared" si="81"/>
        <v>0</v>
      </c>
      <c r="AL93" s="324"/>
      <c r="AM93" s="324">
        <f t="shared" si="84"/>
        <v>0</v>
      </c>
      <c r="AN93" s="324">
        <f t="shared" si="84"/>
        <v>0</v>
      </c>
      <c r="AO93" s="318">
        <f t="shared" si="58"/>
        <v>0</v>
      </c>
      <c r="AP93" s="324">
        <f t="shared" si="85"/>
        <v>0</v>
      </c>
      <c r="AQ93" s="324"/>
      <c r="AR93" s="176">
        <f t="shared" si="86"/>
        <v>0</v>
      </c>
      <c r="AS93" s="174">
        <f t="shared" si="61"/>
        <v>1024</v>
      </c>
      <c r="AT93" s="176"/>
      <c r="AU93" s="176">
        <f t="shared" si="87"/>
        <v>1024</v>
      </c>
      <c r="AV93" s="176"/>
      <c r="AW93" s="345">
        <f t="shared" si="63"/>
        <v>0</v>
      </c>
      <c r="AX93" s="174"/>
      <c r="AY93" s="176"/>
      <c r="AZ93" s="176"/>
      <c r="BA93" s="176"/>
      <c r="BB93" s="176"/>
      <c r="BC93" s="176"/>
      <c r="BD93" s="176"/>
      <c r="BE93" s="176"/>
      <c r="BF93" s="176"/>
      <c r="BG93" s="176">
        <v>2397</v>
      </c>
      <c r="BH93" s="176">
        <v>1024</v>
      </c>
      <c r="BI93" s="176">
        <v>94.8</v>
      </c>
      <c r="BJ93" s="176"/>
      <c r="BK93" s="176"/>
      <c r="BL93" s="176"/>
      <c r="BM93" s="346">
        <f t="shared" si="91"/>
        <v>3515.8</v>
      </c>
      <c r="BN93" s="337"/>
      <c r="BO93" s="170">
        <f t="shared" si="90"/>
        <v>106.46519092753535</v>
      </c>
      <c r="BP93" s="102">
        <f t="shared" si="82"/>
        <v>213.5</v>
      </c>
      <c r="BQ93" s="186">
        <f>BM93/AI93*100</f>
        <v>100</v>
      </c>
      <c r="BR93" s="186">
        <f t="shared" si="71"/>
        <v>0</v>
      </c>
      <c r="BS93" s="186">
        <f t="shared" si="89"/>
        <v>130.0895434026493</v>
      </c>
      <c r="BT93" s="186">
        <f t="shared" si="70"/>
        <v>813.20000000000027</v>
      </c>
      <c r="BU93" s="554"/>
    </row>
    <row r="94" spans="1:73" s="547" customFormat="1" ht="56.25" customHeight="1" outlineLevel="7" x14ac:dyDescent="0.25">
      <c r="A94" s="8" t="s">
        <v>95</v>
      </c>
      <c r="B94" s="9" t="s">
        <v>67</v>
      </c>
      <c r="C94" s="10" t="s">
        <v>66</v>
      </c>
      <c r="D94" s="68"/>
      <c r="E94" s="68"/>
      <c r="F94" s="176"/>
      <c r="G94" s="176"/>
      <c r="H94" s="176">
        <v>543.6</v>
      </c>
      <c r="I94" s="176">
        <v>789.5</v>
      </c>
      <c r="J94" s="176">
        <v>-12.2</v>
      </c>
      <c r="K94" s="176">
        <v>1274.0999999999999</v>
      </c>
      <c r="L94" s="176"/>
      <c r="M94" s="176"/>
      <c r="N94" s="176">
        <v>84.4</v>
      </c>
      <c r="O94" s="176">
        <v>142</v>
      </c>
      <c r="P94" s="174"/>
      <c r="Q94" s="176">
        <v>70</v>
      </c>
      <c r="R94" s="176">
        <f>F94+G94+H94+I94+J94+K94+L94+M94+N94+O94+P94+Q94</f>
        <v>2891.4</v>
      </c>
      <c r="S94" s="324">
        <v>2846.3</v>
      </c>
      <c r="T94" s="324">
        <f t="shared" si="72"/>
        <v>2846.3</v>
      </c>
      <c r="U94" s="176"/>
      <c r="V94" s="176"/>
      <c r="W94" s="176"/>
      <c r="X94" s="176"/>
      <c r="Y94" s="176"/>
      <c r="Z94" s="176"/>
      <c r="AA94" s="176">
        <v>2647</v>
      </c>
      <c r="AB94" s="176"/>
      <c r="AC94" s="176">
        <v>199.3</v>
      </c>
      <c r="AD94" s="176"/>
      <c r="AE94" s="176"/>
      <c r="AF94" s="176"/>
      <c r="AG94" s="346">
        <f t="shared" si="92"/>
        <v>2846.3</v>
      </c>
      <c r="AH94" s="337">
        <v>3010.2</v>
      </c>
      <c r="AI94" s="170">
        <v>2978.3</v>
      </c>
      <c r="AJ94" s="337">
        <f t="shared" si="80"/>
        <v>2978.2999999999997</v>
      </c>
      <c r="AK94" s="319">
        <f t="shared" si="81"/>
        <v>0</v>
      </c>
      <c r="AL94" s="324"/>
      <c r="AM94" s="324">
        <f t="shared" si="84"/>
        <v>0</v>
      </c>
      <c r="AN94" s="324">
        <f t="shared" si="84"/>
        <v>0</v>
      </c>
      <c r="AO94" s="318">
        <f t="shared" si="58"/>
        <v>0</v>
      </c>
      <c r="AP94" s="324">
        <f t="shared" si="85"/>
        <v>0</v>
      </c>
      <c r="AQ94" s="324"/>
      <c r="AR94" s="176">
        <f t="shared" si="86"/>
        <v>0</v>
      </c>
      <c r="AS94" s="174">
        <f t="shared" si="61"/>
        <v>2953.6</v>
      </c>
      <c r="AT94" s="176"/>
      <c r="AU94" s="176">
        <f t="shared" si="87"/>
        <v>2953.6</v>
      </c>
      <c r="AV94" s="176"/>
      <c r="AW94" s="345">
        <f t="shared" si="63"/>
        <v>24.7</v>
      </c>
      <c r="AX94" s="176">
        <f>BJ94</f>
        <v>24.7</v>
      </c>
      <c r="AY94" s="176"/>
      <c r="AZ94" s="176"/>
      <c r="BA94" s="176"/>
      <c r="BB94" s="176"/>
      <c r="BC94" s="176"/>
      <c r="BD94" s="176"/>
      <c r="BE94" s="176"/>
      <c r="BF94" s="176"/>
      <c r="BG94" s="176"/>
      <c r="BH94" s="176">
        <v>2953.6</v>
      </c>
      <c r="BI94" s="176"/>
      <c r="BJ94" s="176">
        <v>24.7</v>
      </c>
      <c r="BK94" s="176"/>
      <c r="BL94" s="176"/>
      <c r="BM94" s="346">
        <f t="shared" si="91"/>
        <v>2978.2999999999997</v>
      </c>
      <c r="BN94" s="337"/>
      <c r="BO94" s="170">
        <f t="shared" si="90"/>
        <v>98.940269749518308</v>
      </c>
      <c r="BP94" s="102">
        <f t="shared" si="82"/>
        <v>-31.900000000000091</v>
      </c>
      <c r="BQ94" s="186">
        <f>BM94/AI94*100</f>
        <v>99.999999999999986</v>
      </c>
      <c r="BR94" s="186">
        <f t="shared" si="71"/>
        <v>0</v>
      </c>
      <c r="BS94" s="186">
        <f t="shared" si="89"/>
        <v>104.63759969082666</v>
      </c>
      <c r="BT94" s="186">
        <f t="shared" si="70"/>
        <v>131.99999999999955</v>
      </c>
      <c r="BU94" s="554"/>
    </row>
    <row r="95" spans="1:73" s="547" customFormat="1" ht="47.25" customHeight="1" outlineLevel="7" x14ac:dyDescent="0.25">
      <c r="A95" s="8"/>
      <c r="B95" s="180" t="s">
        <v>471</v>
      </c>
      <c r="C95" s="10" t="s">
        <v>479</v>
      </c>
      <c r="D95" s="68"/>
      <c r="E95" s="68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4"/>
      <c r="Q95" s="176"/>
      <c r="R95" s="176"/>
      <c r="S95" s="324">
        <v>92.1</v>
      </c>
      <c r="T95" s="324">
        <f t="shared" si="72"/>
        <v>0</v>
      </c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>
        <v>92.1</v>
      </c>
      <c r="AG95" s="346">
        <f t="shared" si="92"/>
        <v>92.1</v>
      </c>
      <c r="AH95" s="337"/>
      <c r="AI95" s="170"/>
      <c r="AJ95" s="337">
        <f t="shared" si="80"/>
        <v>0</v>
      </c>
      <c r="AK95" s="319">
        <f t="shared" si="81"/>
        <v>0</v>
      </c>
      <c r="AL95" s="324"/>
      <c r="AM95" s="324">
        <f t="shared" si="84"/>
        <v>0</v>
      </c>
      <c r="AN95" s="324">
        <f t="shared" si="84"/>
        <v>0</v>
      </c>
      <c r="AO95" s="318">
        <f t="shared" si="58"/>
        <v>0</v>
      </c>
      <c r="AP95" s="324">
        <f t="shared" si="85"/>
        <v>0</v>
      </c>
      <c r="AQ95" s="324"/>
      <c r="AR95" s="176">
        <f t="shared" si="86"/>
        <v>0</v>
      </c>
      <c r="AS95" s="174">
        <f t="shared" si="61"/>
        <v>0</v>
      </c>
      <c r="AT95" s="176"/>
      <c r="AU95" s="176">
        <f t="shared" si="87"/>
        <v>0</v>
      </c>
      <c r="AV95" s="176"/>
      <c r="AW95" s="345">
        <f t="shared" si="63"/>
        <v>0</v>
      </c>
      <c r="AX95" s="174"/>
      <c r="AY95" s="176"/>
      <c r="AZ95" s="176"/>
      <c r="BA95" s="176"/>
      <c r="BB95" s="176"/>
      <c r="BC95" s="176"/>
      <c r="BD95" s="176"/>
      <c r="BE95" s="176"/>
      <c r="BF95" s="176"/>
      <c r="BG95" s="176"/>
      <c r="BH95" s="176"/>
      <c r="BI95" s="176"/>
      <c r="BJ95" s="176"/>
      <c r="BK95" s="176"/>
      <c r="BL95" s="176"/>
      <c r="BM95" s="346">
        <f t="shared" si="91"/>
        <v>0</v>
      </c>
      <c r="BN95" s="337"/>
      <c r="BO95" s="170"/>
      <c r="BP95" s="102">
        <f t="shared" si="82"/>
        <v>0</v>
      </c>
      <c r="BQ95" s="186"/>
      <c r="BR95" s="186">
        <f t="shared" si="71"/>
        <v>0</v>
      </c>
      <c r="BS95" s="186">
        <f t="shared" si="89"/>
        <v>0</v>
      </c>
      <c r="BT95" s="186">
        <f t="shared" si="70"/>
        <v>-92.1</v>
      </c>
      <c r="BU95" s="554"/>
    </row>
    <row r="96" spans="1:73" s="547" customFormat="1" ht="46.5" customHeight="1" outlineLevel="7" x14ac:dyDescent="0.25">
      <c r="A96" s="8"/>
      <c r="B96" s="180" t="s">
        <v>472</v>
      </c>
      <c r="C96" s="10" t="s">
        <v>480</v>
      </c>
      <c r="D96" s="68"/>
      <c r="E96" s="68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4"/>
      <c r="Q96" s="176"/>
      <c r="R96" s="176"/>
      <c r="S96" s="324">
        <f>489.4+29.1</f>
        <v>518.5</v>
      </c>
      <c r="T96" s="324">
        <f t="shared" si="72"/>
        <v>0</v>
      </c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>
        <v>518.5</v>
      </c>
      <c r="AG96" s="346">
        <f t="shared" si="92"/>
        <v>518.5</v>
      </c>
      <c r="AH96" s="337">
        <v>802.5</v>
      </c>
      <c r="AI96" s="170">
        <v>171.9</v>
      </c>
      <c r="AJ96" s="337">
        <f t="shared" si="80"/>
        <v>171.9</v>
      </c>
      <c r="AK96" s="319">
        <f t="shared" si="81"/>
        <v>0</v>
      </c>
      <c r="AL96" s="324"/>
      <c r="AM96" s="324">
        <f t="shared" si="84"/>
        <v>0</v>
      </c>
      <c r="AN96" s="324">
        <f t="shared" si="84"/>
        <v>0</v>
      </c>
      <c r="AO96" s="318">
        <f t="shared" si="58"/>
        <v>0</v>
      </c>
      <c r="AP96" s="324">
        <f t="shared" si="85"/>
        <v>0</v>
      </c>
      <c r="AQ96" s="324"/>
      <c r="AR96" s="176">
        <f t="shared" si="86"/>
        <v>0</v>
      </c>
      <c r="AS96" s="174">
        <f t="shared" si="61"/>
        <v>171.9</v>
      </c>
      <c r="AT96" s="176"/>
      <c r="AU96" s="176">
        <f t="shared" si="87"/>
        <v>171.9</v>
      </c>
      <c r="AV96" s="176"/>
      <c r="AW96" s="345">
        <f t="shared" si="63"/>
        <v>0</v>
      </c>
      <c r="AX96" s="174"/>
      <c r="AY96" s="176"/>
      <c r="AZ96" s="176"/>
      <c r="BA96" s="176"/>
      <c r="BB96" s="176"/>
      <c r="BC96" s="176"/>
      <c r="BD96" s="176"/>
      <c r="BE96" s="176"/>
      <c r="BF96" s="176"/>
      <c r="BG96" s="176"/>
      <c r="BH96" s="176">
        <v>171.9</v>
      </c>
      <c r="BI96" s="176"/>
      <c r="BJ96" s="176"/>
      <c r="BK96" s="176"/>
      <c r="BL96" s="176"/>
      <c r="BM96" s="346">
        <f t="shared" si="91"/>
        <v>171.9</v>
      </c>
      <c r="BN96" s="337"/>
      <c r="BO96" s="170">
        <f t="shared" ref="BO96:BO103" si="93">BM96/AH96*100</f>
        <v>21.420560747663554</v>
      </c>
      <c r="BP96" s="102">
        <f t="shared" si="82"/>
        <v>-630.6</v>
      </c>
      <c r="BQ96" s="186">
        <f t="shared" ref="BQ96:BQ106" si="94">BM96/AI96*100</f>
        <v>100</v>
      </c>
      <c r="BR96" s="186">
        <f t="shared" si="71"/>
        <v>0</v>
      </c>
      <c r="BS96" s="186">
        <f t="shared" si="89"/>
        <v>33.153326904532307</v>
      </c>
      <c r="BT96" s="186">
        <f t="shared" si="70"/>
        <v>-346.6</v>
      </c>
      <c r="BU96" s="554"/>
    </row>
    <row r="97" spans="1:73" s="547" customFormat="1" ht="60" outlineLevel="7" x14ac:dyDescent="0.25">
      <c r="A97" s="8" t="s">
        <v>95</v>
      </c>
      <c r="B97" s="180" t="s">
        <v>135</v>
      </c>
      <c r="C97" s="10" t="s">
        <v>457</v>
      </c>
      <c r="D97" s="68"/>
      <c r="E97" s="68"/>
      <c r="F97" s="176"/>
      <c r="G97" s="176"/>
      <c r="H97" s="176">
        <v>4415.8999999999996</v>
      </c>
      <c r="I97" s="176">
        <v>-837.3</v>
      </c>
      <c r="J97" s="176">
        <v>-2518.8000000000002</v>
      </c>
      <c r="K97" s="176"/>
      <c r="L97" s="176"/>
      <c r="M97" s="176">
        <v>2938.6</v>
      </c>
      <c r="N97" s="176">
        <v>742.3</v>
      </c>
      <c r="O97" s="176"/>
      <c r="P97" s="174"/>
      <c r="Q97" s="174"/>
      <c r="R97" s="176">
        <v>4740.6000000000004</v>
      </c>
      <c r="S97" s="324">
        <f>3986.1+1380.3-431.4</f>
        <v>4935</v>
      </c>
      <c r="T97" s="324">
        <f t="shared" si="72"/>
        <v>4935</v>
      </c>
      <c r="U97" s="176"/>
      <c r="V97" s="176"/>
      <c r="W97" s="176">
        <v>4935</v>
      </c>
      <c r="X97" s="176"/>
      <c r="Y97" s="176"/>
      <c r="Z97" s="176"/>
      <c r="AA97" s="176"/>
      <c r="AB97" s="176"/>
      <c r="AC97" s="176"/>
      <c r="AD97" s="176"/>
      <c r="AE97" s="176"/>
      <c r="AF97" s="176"/>
      <c r="AG97" s="346">
        <f t="shared" si="92"/>
        <v>4935</v>
      </c>
      <c r="AH97" s="337">
        <v>4520.1000000000004</v>
      </c>
      <c r="AI97" s="170">
        <v>3462.9</v>
      </c>
      <c r="AJ97" s="337">
        <f t="shared" si="80"/>
        <v>3463</v>
      </c>
      <c r="AK97" s="319">
        <f t="shared" si="81"/>
        <v>0</v>
      </c>
      <c r="AL97" s="324"/>
      <c r="AM97" s="324">
        <f t="shared" si="84"/>
        <v>0</v>
      </c>
      <c r="AN97" s="324">
        <f t="shared" si="84"/>
        <v>0</v>
      </c>
      <c r="AO97" s="318">
        <f t="shared" si="58"/>
        <v>3463</v>
      </c>
      <c r="AP97" s="324">
        <f t="shared" si="85"/>
        <v>3277.3</v>
      </c>
      <c r="AQ97" s="176">
        <f>BE97</f>
        <v>185.7</v>
      </c>
      <c r="AR97" s="176">
        <f t="shared" si="86"/>
        <v>0</v>
      </c>
      <c r="AS97" s="174">
        <f t="shared" si="61"/>
        <v>0</v>
      </c>
      <c r="AT97" s="176"/>
      <c r="AU97" s="176">
        <f t="shared" si="87"/>
        <v>0</v>
      </c>
      <c r="AV97" s="176"/>
      <c r="AW97" s="345">
        <f t="shared" si="63"/>
        <v>0</v>
      </c>
      <c r="AX97" s="174"/>
      <c r="AY97" s="176"/>
      <c r="AZ97" s="176"/>
      <c r="BA97" s="176"/>
      <c r="BB97" s="176"/>
      <c r="BC97" s="176"/>
      <c r="BD97" s="176">
        <v>3277.3</v>
      </c>
      <c r="BE97" s="176">
        <v>185.7</v>
      </c>
      <c r="BF97" s="176"/>
      <c r="BG97" s="176"/>
      <c r="BH97" s="176"/>
      <c r="BI97" s="176"/>
      <c r="BJ97" s="176"/>
      <c r="BK97" s="176"/>
      <c r="BL97" s="176"/>
      <c r="BM97" s="346">
        <v>3462.9</v>
      </c>
      <c r="BN97" s="337"/>
      <c r="BO97" s="170">
        <f t="shared" si="93"/>
        <v>76.611136921749505</v>
      </c>
      <c r="BP97" s="102">
        <f t="shared" si="82"/>
        <v>-1057.2000000000003</v>
      </c>
      <c r="BQ97" s="186">
        <f t="shared" si="94"/>
        <v>100</v>
      </c>
      <c r="BR97" s="186">
        <f t="shared" si="71"/>
        <v>0</v>
      </c>
      <c r="BS97" s="186">
        <f t="shared" si="89"/>
        <v>70.170212765957444</v>
      </c>
      <c r="BT97" s="186">
        <f t="shared" si="70"/>
        <v>-1472.1</v>
      </c>
      <c r="BU97" s="554"/>
    </row>
    <row r="98" spans="1:73" s="547" customFormat="1" ht="86.25" customHeight="1" outlineLevel="7" x14ac:dyDescent="0.25">
      <c r="A98" s="8"/>
      <c r="B98" s="2" t="s">
        <v>458</v>
      </c>
      <c r="C98" s="10" t="s">
        <v>87</v>
      </c>
      <c r="D98" s="68"/>
      <c r="E98" s="68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324">
        <v>7095.5</v>
      </c>
      <c r="T98" s="324">
        <f t="shared" si="72"/>
        <v>7095.5</v>
      </c>
      <c r="U98" s="176"/>
      <c r="V98" s="176"/>
      <c r="W98" s="176">
        <v>7401.2</v>
      </c>
      <c r="X98" s="176">
        <v>-276.3</v>
      </c>
      <c r="Y98" s="176"/>
      <c r="Z98" s="176"/>
      <c r="AA98" s="176">
        <v>22.6</v>
      </c>
      <c r="AB98" s="176"/>
      <c r="AC98" s="176"/>
      <c r="AD98" s="176">
        <v>-52</v>
      </c>
      <c r="AE98" s="176"/>
      <c r="AF98" s="176"/>
      <c r="AG98" s="346">
        <f t="shared" si="92"/>
        <v>7095.5</v>
      </c>
      <c r="AH98" s="337">
        <v>9080.7999999999993</v>
      </c>
      <c r="AI98" s="170">
        <v>2088.9</v>
      </c>
      <c r="AJ98" s="337">
        <f t="shared" si="80"/>
        <v>2088.9</v>
      </c>
      <c r="AK98" s="319">
        <f t="shared" si="81"/>
        <v>0</v>
      </c>
      <c r="AL98" s="324"/>
      <c r="AM98" s="324">
        <f t="shared" si="84"/>
        <v>0</v>
      </c>
      <c r="AN98" s="324">
        <f t="shared" si="84"/>
        <v>0</v>
      </c>
      <c r="AO98" s="318">
        <f t="shared" si="58"/>
        <v>2088.9</v>
      </c>
      <c r="AP98" s="324">
        <f t="shared" si="85"/>
        <v>0</v>
      </c>
      <c r="AQ98" s="176">
        <f>BE98</f>
        <v>2088.9</v>
      </c>
      <c r="AR98" s="176">
        <f t="shared" si="86"/>
        <v>0</v>
      </c>
      <c r="AS98" s="174">
        <f t="shared" si="61"/>
        <v>0</v>
      </c>
      <c r="AT98" s="176"/>
      <c r="AU98" s="176">
        <f t="shared" si="87"/>
        <v>0</v>
      </c>
      <c r="AV98" s="176"/>
      <c r="AW98" s="345">
        <f t="shared" si="63"/>
        <v>0</v>
      </c>
      <c r="AX98" s="174"/>
      <c r="AY98" s="176"/>
      <c r="AZ98" s="176"/>
      <c r="BA98" s="176"/>
      <c r="BB98" s="176"/>
      <c r="BC98" s="176"/>
      <c r="BD98" s="176"/>
      <c r="BE98" s="176">
        <v>2088.9</v>
      </c>
      <c r="BF98" s="176"/>
      <c r="BG98" s="176"/>
      <c r="BH98" s="176"/>
      <c r="BI98" s="176"/>
      <c r="BJ98" s="176"/>
      <c r="BK98" s="176"/>
      <c r="BL98" s="176"/>
      <c r="BM98" s="346">
        <f t="shared" si="91"/>
        <v>2088.9</v>
      </c>
      <c r="BN98" s="337"/>
      <c r="BO98" s="170">
        <f t="shared" si="93"/>
        <v>23.003479869615013</v>
      </c>
      <c r="BP98" s="102">
        <f t="shared" si="82"/>
        <v>-6991.9</v>
      </c>
      <c r="BQ98" s="186">
        <f t="shared" si="94"/>
        <v>100</v>
      </c>
      <c r="BR98" s="186">
        <f t="shared" si="71"/>
        <v>0</v>
      </c>
      <c r="BS98" s="186">
        <f t="shared" si="89"/>
        <v>29.439785779719539</v>
      </c>
      <c r="BT98" s="186">
        <f t="shared" si="70"/>
        <v>-5006.6000000000004</v>
      </c>
      <c r="BU98" s="554"/>
    </row>
    <row r="99" spans="1:73" s="547" customFormat="1" ht="75.75" customHeight="1" outlineLevel="7" thickBot="1" x14ac:dyDescent="0.3">
      <c r="A99" s="8" t="s">
        <v>54</v>
      </c>
      <c r="B99" s="293" t="s">
        <v>133</v>
      </c>
      <c r="C99" s="282" t="s">
        <v>73</v>
      </c>
      <c r="D99" s="283"/>
      <c r="E99" s="283"/>
      <c r="F99" s="261">
        <v>147.1</v>
      </c>
      <c r="G99" s="261"/>
      <c r="H99" s="261">
        <v>0.1</v>
      </c>
      <c r="I99" s="261">
        <v>147.1</v>
      </c>
      <c r="J99" s="261"/>
      <c r="K99" s="261"/>
      <c r="L99" s="261">
        <v>147.19999999999999</v>
      </c>
      <c r="M99" s="261"/>
      <c r="N99" s="261">
        <v>-12.8</v>
      </c>
      <c r="O99" s="261">
        <v>0.1</v>
      </c>
      <c r="P99" s="260"/>
      <c r="Q99" s="260"/>
      <c r="R99" s="261">
        <f t="shared" si="79"/>
        <v>428.79999999999995</v>
      </c>
      <c r="S99" s="329">
        <v>444.6</v>
      </c>
      <c r="T99" s="324">
        <f t="shared" si="72"/>
        <v>444.7</v>
      </c>
      <c r="U99" s="261"/>
      <c r="V99" s="261"/>
      <c r="W99" s="261"/>
      <c r="X99" s="261">
        <v>337.3</v>
      </c>
      <c r="Y99" s="261"/>
      <c r="Z99" s="261"/>
      <c r="AA99" s="261">
        <v>168.7</v>
      </c>
      <c r="AB99" s="261"/>
      <c r="AC99" s="261"/>
      <c r="AD99" s="261">
        <v>-61.3</v>
      </c>
      <c r="AE99" s="261"/>
      <c r="AF99" s="261"/>
      <c r="AG99" s="346">
        <v>444.6</v>
      </c>
      <c r="AH99" s="337">
        <v>747.4</v>
      </c>
      <c r="AI99" s="335">
        <v>747.4</v>
      </c>
      <c r="AJ99" s="337">
        <f t="shared" si="80"/>
        <v>373.70000000000005</v>
      </c>
      <c r="AK99" s="319">
        <f t="shared" si="81"/>
        <v>0</v>
      </c>
      <c r="AL99" s="329"/>
      <c r="AM99" s="324">
        <f t="shared" si="84"/>
        <v>0</v>
      </c>
      <c r="AN99" s="324">
        <f t="shared" si="84"/>
        <v>0</v>
      </c>
      <c r="AO99" s="318">
        <f t="shared" si="58"/>
        <v>186.8</v>
      </c>
      <c r="AP99" s="324">
        <f t="shared" si="85"/>
        <v>186.8</v>
      </c>
      <c r="AQ99" s="324"/>
      <c r="AR99" s="176">
        <f t="shared" si="86"/>
        <v>0</v>
      </c>
      <c r="AS99" s="174">
        <f t="shared" si="61"/>
        <v>0</v>
      </c>
      <c r="AT99" s="176"/>
      <c r="AU99" s="176">
        <f t="shared" si="87"/>
        <v>0</v>
      </c>
      <c r="AV99" s="176"/>
      <c r="AW99" s="345">
        <f t="shared" si="63"/>
        <v>186.9</v>
      </c>
      <c r="AX99" s="176">
        <f>BJ99</f>
        <v>186.9</v>
      </c>
      <c r="AY99" s="176"/>
      <c r="AZ99" s="430"/>
      <c r="BA99" s="422">
        <v>186.9</v>
      </c>
      <c r="BB99" s="431"/>
      <c r="BC99" s="261"/>
      <c r="BD99" s="261">
        <v>186.8</v>
      </c>
      <c r="BE99" s="261"/>
      <c r="BF99" s="261"/>
      <c r="BG99" s="261">
        <v>186.8</v>
      </c>
      <c r="BH99" s="261"/>
      <c r="BI99" s="261"/>
      <c r="BJ99" s="261">
        <v>186.9</v>
      </c>
      <c r="BK99" s="261"/>
      <c r="BL99" s="261"/>
      <c r="BM99" s="346">
        <f t="shared" si="73"/>
        <v>747.4</v>
      </c>
      <c r="BN99" s="337"/>
      <c r="BO99" s="170">
        <f t="shared" si="93"/>
        <v>100</v>
      </c>
      <c r="BP99" s="102">
        <f t="shared" si="82"/>
        <v>0</v>
      </c>
      <c r="BQ99" s="186">
        <f t="shared" si="94"/>
        <v>100</v>
      </c>
      <c r="BR99" s="186">
        <f t="shared" si="71"/>
        <v>0</v>
      </c>
      <c r="BS99" s="186">
        <f t="shared" si="89"/>
        <v>168.10616284300494</v>
      </c>
      <c r="BT99" s="186">
        <f t="shared" si="70"/>
        <v>302.79999999999995</v>
      </c>
      <c r="BU99" s="554"/>
    </row>
    <row r="100" spans="1:73" s="547" customFormat="1" ht="97.5" customHeight="1" outlineLevel="5" x14ac:dyDescent="0.25">
      <c r="A100" s="8" t="s">
        <v>74</v>
      </c>
      <c r="B100" s="177" t="s">
        <v>276</v>
      </c>
      <c r="C100" s="247" t="s">
        <v>277</v>
      </c>
      <c r="D100" s="248"/>
      <c r="E100" s="248"/>
      <c r="F100" s="253">
        <v>567.20000000000005</v>
      </c>
      <c r="G100" s="253"/>
      <c r="H100" s="253"/>
      <c r="I100" s="253">
        <v>567.29999999999995</v>
      </c>
      <c r="J100" s="253"/>
      <c r="K100" s="253"/>
      <c r="L100" s="253">
        <v>567.20000000000005</v>
      </c>
      <c r="M100" s="253"/>
      <c r="N100" s="253"/>
      <c r="O100" s="253">
        <v>567.20000000000005</v>
      </c>
      <c r="P100" s="253">
        <f>18.8+1254.5</f>
        <v>1273.3</v>
      </c>
      <c r="Q100" s="252"/>
      <c r="R100" s="253">
        <v>3542.3</v>
      </c>
      <c r="S100" s="324">
        <v>3182.1</v>
      </c>
      <c r="T100" s="324">
        <f>U100+V100+W100+X100+Y100+Z100+AA100+AB100+AC100+AD100+AE100</f>
        <v>2934.4</v>
      </c>
      <c r="U100" s="253">
        <v>733.6</v>
      </c>
      <c r="V100" s="253"/>
      <c r="W100" s="253"/>
      <c r="X100" s="253">
        <v>733.6</v>
      </c>
      <c r="Y100" s="253"/>
      <c r="Z100" s="253"/>
      <c r="AA100" s="253">
        <v>733.6</v>
      </c>
      <c r="AB100" s="253"/>
      <c r="AC100" s="253"/>
      <c r="AD100" s="253">
        <v>733.6</v>
      </c>
      <c r="AE100" s="253"/>
      <c r="AF100" s="253">
        <v>-191.6</v>
      </c>
      <c r="AG100" s="346">
        <f>U100+V100+W100+X100+Y100+Z100+AA100+AB100+AC100+AF100+AE100+AD100</f>
        <v>2742.8</v>
      </c>
      <c r="AH100" s="337">
        <v>2932.6</v>
      </c>
      <c r="AI100" s="335">
        <v>2932.6</v>
      </c>
      <c r="AJ100" s="337">
        <f>AK100+AO100+AS100+AW100</f>
        <v>1466.2</v>
      </c>
      <c r="AK100" s="319">
        <f>AL100+AM100+AN100</f>
        <v>-0.1</v>
      </c>
      <c r="AL100" s="330"/>
      <c r="AM100" s="324">
        <f t="shared" si="84"/>
        <v>-0.1</v>
      </c>
      <c r="AN100" s="324">
        <f t="shared" si="84"/>
        <v>0</v>
      </c>
      <c r="AO100" s="318">
        <f>AP100+AQ100+AR100</f>
        <v>733.2</v>
      </c>
      <c r="AP100" s="324">
        <f t="shared" si="85"/>
        <v>733.2</v>
      </c>
      <c r="AQ100" s="324"/>
      <c r="AR100" s="176">
        <f t="shared" si="86"/>
        <v>0</v>
      </c>
      <c r="AS100" s="174">
        <f>AT100+AU100+AV100</f>
        <v>0</v>
      </c>
      <c r="AT100" s="176"/>
      <c r="AU100" s="176">
        <f t="shared" si="87"/>
        <v>0</v>
      </c>
      <c r="AV100" s="176"/>
      <c r="AW100" s="345">
        <f>AX100+AY100+AZ100</f>
        <v>733.1</v>
      </c>
      <c r="AX100" s="176">
        <f>BJ100</f>
        <v>733.1</v>
      </c>
      <c r="AY100" s="176"/>
      <c r="AZ100" s="176"/>
      <c r="BA100" s="253">
        <v>733.2</v>
      </c>
      <c r="BB100" s="253">
        <v>-0.1</v>
      </c>
      <c r="BC100" s="253"/>
      <c r="BD100" s="253">
        <v>733.2</v>
      </c>
      <c r="BE100" s="253"/>
      <c r="BF100" s="253"/>
      <c r="BG100" s="253">
        <v>733.2</v>
      </c>
      <c r="BH100" s="253"/>
      <c r="BI100" s="253"/>
      <c r="BJ100" s="253">
        <v>733.1</v>
      </c>
      <c r="BK100" s="253"/>
      <c r="BL100" s="253"/>
      <c r="BM100" s="346">
        <f>SUM(BA100:BL100)</f>
        <v>2932.6</v>
      </c>
      <c r="BN100" s="337"/>
      <c r="BO100" s="170">
        <f t="shared" si="93"/>
        <v>100</v>
      </c>
      <c r="BP100" s="102">
        <f t="shared" si="82"/>
        <v>0</v>
      </c>
      <c r="BQ100" s="186">
        <f t="shared" si="94"/>
        <v>100</v>
      </c>
      <c r="BR100" s="186">
        <f t="shared" si="71"/>
        <v>0</v>
      </c>
      <c r="BS100" s="186">
        <f t="shared" si="89"/>
        <v>106.91993583199648</v>
      </c>
      <c r="BT100" s="186">
        <f t="shared" ref="BT100:BT129" si="95">BM100-AG100</f>
        <v>189.79999999999973</v>
      </c>
      <c r="BU100" s="554"/>
    </row>
    <row r="101" spans="1:73" s="547" customFormat="1" ht="70.5" customHeight="1" outlineLevel="7" x14ac:dyDescent="0.25">
      <c r="A101" s="8"/>
      <c r="B101" s="292" t="s">
        <v>355</v>
      </c>
      <c r="C101" s="247" t="s">
        <v>282</v>
      </c>
      <c r="D101" s="248"/>
      <c r="E101" s="248"/>
      <c r="F101" s="253"/>
      <c r="G101" s="253"/>
      <c r="H101" s="253">
        <v>3413</v>
      </c>
      <c r="I101" s="253">
        <v>-2593.9</v>
      </c>
      <c r="J101" s="253"/>
      <c r="K101" s="253"/>
      <c r="L101" s="253"/>
      <c r="M101" s="253">
        <v>5914</v>
      </c>
      <c r="N101" s="253">
        <v>-4494.6000000000004</v>
      </c>
      <c r="O101" s="253"/>
      <c r="P101" s="252"/>
      <c r="Q101" s="252"/>
      <c r="R101" s="253">
        <f t="shared" si="79"/>
        <v>2238.5</v>
      </c>
      <c r="S101" s="324">
        <v>2813.9</v>
      </c>
      <c r="T101" s="324">
        <f t="shared" si="72"/>
        <v>2324.1</v>
      </c>
      <c r="U101" s="253"/>
      <c r="V101" s="253"/>
      <c r="W101" s="253"/>
      <c r="X101" s="253">
        <v>575.70000000000005</v>
      </c>
      <c r="Y101" s="253"/>
      <c r="Z101" s="253">
        <v>156.80000000000001</v>
      </c>
      <c r="AA101" s="253"/>
      <c r="AB101" s="253">
        <v>1591.6</v>
      </c>
      <c r="AC101" s="253"/>
      <c r="AD101" s="253"/>
      <c r="AE101" s="253"/>
      <c r="AF101" s="253">
        <v>489.8</v>
      </c>
      <c r="AG101" s="346">
        <f t="shared" si="83"/>
        <v>2813.9</v>
      </c>
      <c r="AH101" s="337">
        <v>1244.9000000000001</v>
      </c>
      <c r="AI101" s="170">
        <f>2314.9-20.2</f>
        <v>2294.7000000000003</v>
      </c>
      <c r="AJ101" s="337">
        <f t="shared" si="80"/>
        <v>1699.1999999999998</v>
      </c>
      <c r="AK101" s="319">
        <f t="shared" si="81"/>
        <v>965.1</v>
      </c>
      <c r="AL101" s="330"/>
      <c r="AM101" s="324">
        <f t="shared" si="84"/>
        <v>0</v>
      </c>
      <c r="AN101" s="324">
        <f t="shared" si="84"/>
        <v>965.1</v>
      </c>
      <c r="AO101" s="318">
        <f t="shared" si="58"/>
        <v>722.5</v>
      </c>
      <c r="AP101" s="324">
        <f t="shared" si="85"/>
        <v>0</v>
      </c>
      <c r="AQ101" s="324"/>
      <c r="AR101" s="176">
        <f t="shared" si="86"/>
        <v>722.5</v>
      </c>
      <c r="AS101" s="174">
        <f t="shared" si="61"/>
        <v>0</v>
      </c>
      <c r="AT101" s="176"/>
      <c r="AU101" s="176">
        <f t="shared" si="87"/>
        <v>0</v>
      </c>
      <c r="AV101" s="176"/>
      <c r="AW101" s="345">
        <f t="shared" si="63"/>
        <v>11.6</v>
      </c>
      <c r="AX101" s="176">
        <f>BJ101</f>
        <v>11.6</v>
      </c>
      <c r="AY101" s="176"/>
      <c r="AZ101" s="176"/>
      <c r="BA101" s="253"/>
      <c r="BB101" s="253"/>
      <c r="BC101" s="253">
        <v>965.1</v>
      </c>
      <c r="BD101" s="253"/>
      <c r="BE101" s="253"/>
      <c r="BF101" s="253">
        <v>722.5</v>
      </c>
      <c r="BG101" s="253"/>
      <c r="BH101" s="253"/>
      <c r="BI101" s="253"/>
      <c r="BJ101" s="253">
        <v>11.6</v>
      </c>
      <c r="BK101" s="253"/>
      <c r="BL101" s="253">
        <v>595.5</v>
      </c>
      <c r="BM101" s="346">
        <f t="shared" si="73"/>
        <v>2294.6999999999998</v>
      </c>
      <c r="BN101" s="337"/>
      <c r="BO101" s="170">
        <f t="shared" si="93"/>
        <v>184.32805847859265</v>
      </c>
      <c r="BP101" s="102">
        <f t="shared" si="82"/>
        <v>1049.7999999999997</v>
      </c>
      <c r="BQ101" s="186">
        <f t="shared" si="94"/>
        <v>99.999999999999972</v>
      </c>
      <c r="BR101" s="186">
        <f t="shared" ref="BR101:BR112" si="96">BM101-AI101</f>
        <v>0</v>
      </c>
      <c r="BS101" s="186">
        <f t="shared" si="89"/>
        <v>81.548740182664631</v>
      </c>
      <c r="BT101" s="186">
        <f t="shared" si="95"/>
        <v>-519.20000000000027</v>
      </c>
      <c r="BU101" s="554"/>
    </row>
    <row r="102" spans="1:73" s="547" customFormat="1" ht="66.75" customHeight="1" outlineLevel="7" thickBot="1" x14ac:dyDescent="0.3">
      <c r="A102" s="8"/>
      <c r="B102" s="21" t="s">
        <v>354</v>
      </c>
      <c r="C102" s="291" t="s">
        <v>336</v>
      </c>
      <c r="D102" s="213"/>
      <c r="E102" s="384"/>
      <c r="F102" s="176"/>
      <c r="G102" s="261"/>
      <c r="H102" s="176"/>
      <c r="I102" s="176">
        <v>2593.9</v>
      </c>
      <c r="J102" s="176"/>
      <c r="K102" s="176"/>
      <c r="L102" s="176"/>
      <c r="M102" s="176"/>
      <c r="N102" s="176">
        <v>4494.6000000000004</v>
      </c>
      <c r="O102" s="176"/>
      <c r="P102" s="174"/>
      <c r="Q102" s="174"/>
      <c r="R102" s="176">
        <f t="shared" si="79"/>
        <v>7088.5</v>
      </c>
      <c r="S102" s="324">
        <v>8910.6</v>
      </c>
      <c r="T102" s="324">
        <f t="shared" si="72"/>
        <v>7359.7</v>
      </c>
      <c r="U102" s="176"/>
      <c r="V102" s="176"/>
      <c r="W102" s="176"/>
      <c r="X102" s="176">
        <v>2476.3000000000002</v>
      </c>
      <c r="Y102" s="176"/>
      <c r="Z102" s="176">
        <v>-156.80000000000001</v>
      </c>
      <c r="AA102" s="176"/>
      <c r="AB102" s="176">
        <v>5040.2</v>
      </c>
      <c r="AC102" s="176"/>
      <c r="AD102" s="176"/>
      <c r="AE102" s="176"/>
      <c r="AF102" s="176">
        <v>1550.9</v>
      </c>
      <c r="AG102" s="346">
        <f t="shared" si="83"/>
        <v>8910.6</v>
      </c>
      <c r="AH102" s="337">
        <v>3734.5</v>
      </c>
      <c r="AI102" s="170">
        <f>6944.8-60.7</f>
        <v>6884.1</v>
      </c>
      <c r="AJ102" s="337">
        <f t="shared" si="80"/>
        <v>5097.7000000000007</v>
      </c>
      <c r="AK102" s="319">
        <f t="shared" si="81"/>
        <v>2895.3</v>
      </c>
      <c r="AL102" s="324"/>
      <c r="AM102" s="324">
        <f t="shared" si="84"/>
        <v>0</v>
      </c>
      <c r="AN102" s="324">
        <f t="shared" si="84"/>
        <v>2895.3</v>
      </c>
      <c r="AO102" s="318">
        <f t="shared" si="58"/>
        <v>2167.4</v>
      </c>
      <c r="AP102" s="324">
        <f t="shared" si="85"/>
        <v>0</v>
      </c>
      <c r="AQ102" s="324"/>
      <c r="AR102" s="176">
        <f t="shared" si="86"/>
        <v>2167.4</v>
      </c>
      <c r="AS102" s="174">
        <f t="shared" si="61"/>
        <v>0</v>
      </c>
      <c r="AT102" s="176"/>
      <c r="AU102" s="176">
        <f t="shared" si="87"/>
        <v>0</v>
      </c>
      <c r="AV102" s="176"/>
      <c r="AW102" s="345">
        <f t="shared" si="63"/>
        <v>35</v>
      </c>
      <c r="AX102" s="176">
        <f>BJ102</f>
        <v>35</v>
      </c>
      <c r="AY102" s="176"/>
      <c r="AZ102" s="176"/>
      <c r="BA102" s="176"/>
      <c r="BB102" s="176"/>
      <c r="BC102" s="176">
        <v>2895.3</v>
      </c>
      <c r="BD102" s="176"/>
      <c r="BE102" s="176"/>
      <c r="BF102" s="176">
        <v>2167.4</v>
      </c>
      <c r="BG102" s="176"/>
      <c r="BH102" s="176"/>
      <c r="BI102" s="176"/>
      <c r="BJ102" s="176">
        <v>35</v>
      </c>
      <c r="BK102" s="176"/>
      <c r="BL102" s="176">
        <v>1786.4</v>
      </c>
      <c r="BM102" s="346">
        <f t="shared" si="73"/>
        <v>6884.1</v>
      </c>
      <c r="BN102" s="337"/>
      <c r="BO102" s="170">
        <f t="shared" si="93"/>
        <v>184.33793011112601</v>
      </c>
      <c r="BP102" s="102">
        <f t="shared" si="82"/>
        <v>3149.6000000000004</v>
      </c>
      <c r="BQ102" s="186">
        <f t="shared" si="94"/>
        <v>100</v>
      </c>
      <c r="BR102" s="186">
        <f t="shared" si="96"/>
        <v>0</v>
      </c>
      <c r="BS102" s="186">
        <f t="shared" si="89"/>
        <v>77.257423742508919</v>
      </c>
      <c r="BT102" s="186">
        <f t="shared" si="95"/>
        <v>-2026.5</v>
      </c>
      <c r="BU102" s="554"/>
    </row>
    <row r="103" spans="1:73" s="547" customFormat="1" ht="90" outlineLevel="7" x14ac:dyDescent="0.25">
      <c r="A103" s="8"/>
      <c r="B103" s="2" t="s">
        <v>78</v>
      </c>
      <c r="C103" s="10" t="s">
        <v>77</v>
      </c>
      <c r="D103" s="68"/>
      <c r="E103" s="68"/>
      <c r="F103" s="176"/>
      <c r="G103" s="176"/>
      <c r="H103" s="176">
        <v>402.4</v>
      </c>
      <c r="I103" s="176">
        <v>804.7</v>
      </c>
      <c r="J103" s="176"/>
      <c r="K103" s="176"/>
      <c r="L103" s="176"/>
      <c r="M103" s="176"/>
      <c r="N103" s="176"/>
      <c r="O103" s="176"/>
      <c r="P103" s="176">
        <v>6470.6</v>
      </c>
      <c r="Q103" s="174"/>
      <c r="R103" s="176">
        <f>F103+G103+H103+I103+J103+K103+L103+M103+N103+O103+P103+Q103</f>
        <v>7677.7000000000007</v>
      </c>
      <c r="S103" s="324">
        <v>26527.5</v>
      </c>
      <c r="T103" s="324">
        <f t="shared" si="72"/>
        <v>7931.7</v>
      </c>
      <c r="U103" s="176"/>
      <c r="V103" s="176"/>
      <c r="W103" s="176"/>
      <c r="X103" s="176"/>
      <c r="Y103" s="176"/>
      <c r="Z103" s="176"/>
      <c r="AA103" s="176">
        <v>7931.7</v>
      </c>
      <c r="AB103" s="176"/>
      <c r="AC103" s="176"/>
      <c r="AD103" s="176"/>
      <c r="AE103" s="176"/>
      <c r="AF103" s="176">
        <v>18595.8</v>
      </c>
      <c r="AG103" s="346">
        <f>U103+V103+W103+X103+Y103+Z103+AA103+AB103+AC103+AF103+AE103+AD103</f>
        <v>26527.5</v>
      </c>
      <c r="AH103" s="337">
        <v>42412.5</v>
      </c>
      <c r="AI103" s="170">
        <v>38566.9</v>
      </c>
      <c r="AJ103" s="337">
        <f>AK103+AO103+AS103+AW103</f>
        <v>20380.600000000002</v>
      </c>
      <c r="AK103" s="319">
        <f>AL103+AM103+AN103</f>
        <v>0</v>
      </c>
      <c r="AL103" s="324"/>
      <c r="AM103" s="324">
        <f t="shared" si="84"/>
        <v>0</v>
      </c>
      <c r="AN103" s="324">
        <f t="shared" si="84"/>
        <v>0</v>
      </c>
      <c r="AO103" s="318">
        <f>AP103+AQ103+AR103</f>
        <v>2266.9</v>
      </c>
      <c r="AP103" s="324">
        <f t="shared" si="85"/>
        <v>0</v>
      </c>
      <c r="AQ103" s="176">
        <f>BE103</f>
        <v>2266.9</v>
      </c>
      <c r="AR103" s="176">
        <f t="shared" si="86"/>
        <v>0</v>
      </c>
      <c r="AS103" s="174">
        <f>AT103+AU103+AV103</f>
        <v>18113.7</v>
      </c>
      <c r="AT103" s="176"/>
      <c r="AU103" s="176">
        <f t="shared" si="87"/>
        <v>18113.7</v>
      </c>
      <c r="AV103" s="176"/>
      <c r="AW103" s="345">
        <f>AX103+AY103+AZ103</f>
        <v>0</v>
      </c>
      <c r="AX103" s="174"/>
      <c r="AY103" s="176"/>
      <c r="AZ103" s="176"/>
      <c r="BA103" s="176"/>
      <c r="BB103" s="176"/>
      <c r="BC103" s="176"/>
      <c r="BD103" s="176"/>
      <c r="BE103" s="176">
        <v>2266.9</v>
      </c>
      <c r="BF103" s="176"/>
      <c r="BG103" s="176"/>
      <c r="BH103" s="176">
        <v>18113.7</v>
      </c>
      <c r="BI103" s="176"/>
      <c r="BJ103" s="176"/>
      <c r="BK103" s="176"/>
      <c r="BL103" s="176">
        <v>18186.3</v>
      </c>
      <c r="BM103" s="346">
        <f>SUM(BA103:BL103)</f>
        <v>38566.9</v>
      </c>
      <c r="BN103" s="337"/>
      <c r="BO103" s="170">
        <f t="shared" si="93"/>
        <v>90.93286177424109</v>
      </c>
      <c r="BP103" s="102">
        <f t="shared" si="82"/>
        <v>-3845.5999999999985</v>
      </c>
      <c r="BQ103" s="186">
        <f t="shared" si="94"/>
        <v>100</v>
      </c>
      <c r="BR103" s="186">
        <f t="shared" si="96"/>
        <v>0</v>
      </c>
      <c r="BS103" s="186">
        <f t="shared" si="89"/>
        <v>145.38460088587314</v>
      </c>
      <c r="BT103" s="186">
        <f t="shared" si="95"/>
        <v>12039.400000000001</v>
      </c>
      <c r="BU103" s="554"/>
    </row>
    <row r="104" spans="1:73" s="547" customFormat="1" ht="105" outlineLevel="7" x14ac:dyDescent="0.25">
      <c r="A104" s="8"/>
      <c r="B104" s="2" t="s">
        <v>590</v>
      </c>
      <c r="C104" s="10" t="s">
        <v>591</v>
      </c>
      <c r="D104" s="68"/>
      <c r="E104" s="68"/>
      <c r="F104" s="176"/>
      <c r="G104" s="176"/>
      <c r="H104" s="176">
        <v>1274.2</v>
      </c>
      <c r="I104" s="176">
        <v>2548.4</v>
      </c>
      <c r="J104" s="176"/>
      <c r="K104" s="176"/>
      <c r="L104" s="176"/>
      <c r="M104" s="176"/>
      <c r="N104" s="176"/>
      <c r="O104" s="176"/>
      <c r="P104" s="174"/>
      <c r="Q104" s="174"/>
      <c r="R104" s="176">
        <f>F104+G104+H104+I104+J104+K104+L104+M104+N104+O104+P104+Q104</f>
        <v>3822.6000000000004</v>
      </c>
      <c r="S104" s="324">
        <v>0</v>
      </c>
      <c r="T104" s="324">
        <f t="shared" si="72"/>
        <v>0</v>
      </c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346">
        <f t="shared" si="83"/>
        <v>0</v>
      </c>
      <c r="AH104" s="337"/>
      <c r="AI104" s="170">
        <v>4629.3999999999996</v>
      </c>
      <c r="AJ104" s="337">
        <f t="shared" si="80"/>
        <v>4629.3</v>
      </c>
      <c r="AK104" s="319">
        <f t="shared" si="81"/>
        <v>0</v>
      </c>
      <c r="AL104" s="324"/>
      <c r="AM104" s="324">
        <f t="shared" si="84"/>
        <v>0</v>
      </c>
      <c r="AN104" s="324">
        <f t="shared" si="84"/>
        <v>0</v>
      </c>
      <c r="AO104" s="318">
        <f t="shared" si="58"/>
        <v>0</v>
      </c>
      <c r="AP104" s="324">
        <f t="shared" si="85"/>
        <v>0</v>
      </c>
      <c r="AQ104" s="176"/>
      <c r="AR104" s="176">
        <f t="shared" si="86"/>
        <v>0</v>
      </c>
      <c r="AS104" s="174">
        <f t="shared" si="61"/>
        <v>4629.3</v>
      </c>
      <c r="AT104" s="176"/>
      <c r="AU104" s="176">
        <f t="shared" si="87"/>
        <v>4629.3</v>
      </c>
      <c r="AV104" s="176"/>
      <c r="AW104" s="345">
        <f t="shared" si="63"/>
        <v>0</v>
      </c>
      <c r="AX104" s="174"/>
      <c r="AY104" s="176"/>
      <c r="AZ104" s="176"/>
      <c r="BA104" s="176"/>
      <c r="BB104" s="176"/>
      <c r="BC104" s="176"/>
      <c r="BD104" s="176"/>
      <c r="BE104" s="176"/>
      <c r="BF104" s="176"/>
      <c r="BG104" s="176"/>
      <c r="BH104" s="176">
        <v>4629.3</v>
      </c>
      <c r="BI104" s="176"/>
      <c r="BJ104" s="176"/>
      <c r="BK104" s="176"/>
      <c r="BL104" s="176">
        <v>0.1</v>
      </c>
      <c r="BM104" s="346">
        <f t="shared" si="73"/>
        <v>4629.4000000000005</v>
      </c>
      <c r="BN104" s="337"/>
      <c r="BO104" s="170"/>
      <c r="BP104" s="102">
        <f t="shared" si="82"/>
        <v>4629.4000000000005</v>
      </c>
      <c r="BQ104" s="186">
        <f t="shared" si="94"/>
        <v>100.00000000000003</v>
      </c>
      <c r="BR104" s="186">
        <f t="shared" si="96"/>
        <v>0</v>
      </c>
      <c r="BS104" s="186"/>
      <c r="BT104" s="186">
        <f t="shared" si="95"/>
        <v>4629.4000000000005</v>
      </c>
      <c r="BU104" s="554"/>
    </row>
    <row r="105" spans="1:73" ht="12.75" hidden="1" customHeight="1" x14ac:dyDescent="0.25">
      <c r="T105" s="324">
        <f t="shared" si="72"/>
        <v>0</v>
      </c>
      <c r="AM105" s="324">
        <f t="shared" si="84"/>
        <v>0</v>
      </c>
      <c r="AN105" s="324">
        <f t="shared" si="84"/>
        <v>0</v>
      </c>
      <c r="AP105" s="324">
        <f t="shared" si="85"/>
        <v>0</v>
      </c>
      <c r="AQ105" s="104"/>
      <c r="AR105" s="176">
        <f t="shared" si="86"/>
        <v>0</v>
      </c>
      <c r="AU105" s="176">
        <f t="shared" si="87"/>
        <v>0</v>
      </c>
      <c r="BO105" s="170" t="e">
        <f>BM105/AH105*100</f>
        <v>#DIV/0!</v>
      </c>
      <c r="BP105" s="102">
        <f t="shared" si="82"/>
        <v>0</v>
      </c>
      <c r="BQ105" s="186" t="e">
        <f t="shared" si="94"/>
        <v>#DIV/0!</v>
      </c>
      <c r="BR105" s="186">
        <f t="shared" si="96"/>
        <v>0</v>
      </c>
      <c r="BS105" s="186" t="e">
        <f t="shared" ref="BS105:BS114" si="97">BM105/AG105*100</f>
        <v>#DIV/0!</v>
      </c>
      <c r="BT105" s="186">
        <f t="shared" si="95"/>
        <v>0</v>
      </c>
    </row>
    <row r="106" spans="1:73" s="547" customFormat="1" ht="45" outlineLevel="7" x14ac:dyDescent="0.25">
      <c r="A106" s="8" t="s">
        <v>80</v>
      </c>
      <c r="B106" s="238" t="s">
        <v>134</v>
      </c>
      <c r="C106" s="10" t="s">
        <v>79</v>
      </c>
      <c r="D106" s="68"/>
      <c r="E106" s="68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>
        <v>1.6</v>
      </c>
      <c r="Q106" s="174"/>
      <c r="R106" s="176">
        <f>F106+G106+H106+I106+J106+K106+L106+M106+N106+O106+P106+Q106</f>
        <v>1.6</v>
      </c>
      <c r="S106" s="324">
        <v>6</v>
      </c>
      <c r="T106" s="324">
        <f t="shared" si="72"/>
        <v>6</v>
      </c>
      <c r="U106" s="176"/>
      <c r="V106" s="176"/>
      <c r="W106" s="176"/>
      <c r="X106" s="176">
        <v>6</v>
      </c>
      <c r="Y106" s="176"/>
      <c r="Z106" s="176"/>
      <c r="AA106" s="176"/>
      <c r="AB106" s="176"/>
      <c r="AC106" s="176"/>
      <c r="AD106" s="176"/>
      <c r="AE106" s="176"/>
      <c r="AF106" s="176"/>
      <c r="AG106" s="346">
        <f t="shared" si="83"/>
        <v>6</v>
      </c>
      <c r="AH106" s="337">
        <v>6.5</v>
      </c>
      <c r="AI106" s="170">
        <v>6.5</v>
      </c>
      <c r="AJ106" s="337">
        <f t="shared" si="80"/>
        <v>6.5</v>
      </c>
      <c r="AK106" s="319">
        <f t="shared" si="81"/>
        <v>0</v>
      </c>
      <c r="AL106" s="324"/>
      <c r="AM106" s="324">
        <f t="shared" si="84"/>
        <v>0</v>
      </c>
      <c r="AN106" s="324">
        <f t="shared" si="84"/>
        <v>0</v>
      </c>
      <c r="AO106" s="318">
        <f t="shared" si="58"/>
        <v>0</v>
      </c>
      <c r="AP106" s="324">
        <f t="shared" si="85"/>
        <v>0</v>
      </c>
      <c r="AQ106" s="176"/>
      <c r="AR106" s="176">
        <f t="shared" si="86"/>
        <v>0</v>
      </c>
      <c r="AS106" s="174">
        <f t="shared" si="61"/>
        <v>0</v>
      </c>
      <c r="AT106" s="176"/>
      <c r="AU106" s="176">
        <f t="shared" si="87"/>
        <v>0</v>
      </c>
      <c r="AV106" s="176"/>
      <c r="AW106" s="345">
        <f t="shared" si="63"/>
        <v>6.5</v>
      </c>
      <c r="AX106" s="174"/>
      <c r="AY106" s="176">
        <f>BK106</f>
        <v>6.5</v>
      </c>
      <c r="AZ106" s="176"/>
      <c r="BA106" s="176"/>
      <c r="BB106" s="176"/>
      <c r="BC106" s="176"/>
      <c r="BD106" s="176"/>
      <c r="BE106" s="176"/>
      <c r="BF106" s="176"/>
      <c r="BG106" s="176"/>
      <c r="BH106" s="176"/>
      <c r="BI106" s="176"/>
      <c r="BJ106" s="176"/>
      <c r="BK106" s="176">
        <v>6.5</v>
      </c>
      <c r="BL106" s="176"/>
      <c r="BM106" s="346">
        <f t="shared" si="73"/>
        <v>6.5</v>
      </c>
      <c r="BN106" s="337"/>
      <c r="BO106" s="170">
        <f>BM106/AH106*100</f>
        <v>100</v>
      </c>
      <c r="BP106" s="102">
        <f t="shared" si="82"/>
        <v>0</v>
      </c>
      <c r="BQ106" s="186">
        <f t="shared" si="94"/>
        <v>100</v>
      </c>
      <c r="BR106" s="186">
        <f t="shared" si="96"/>
        <v>0</v>
      </c>
      <c r="BS106" s="186">
        <f t="shared" si="97"/>
        <v>108.33333333333333</v>
      </c>
      <c r="BT106" s="186">
        <f t="shared" si="95"/>
        <v>0.5</v>
      </c>
      <c r="BU106" s="554"/>
    </row>
    <row r="107" spans="1:73" s="547" customFormat="1" ht="94.5" customHeight="1" outlineLevel="7" x14ac:dyDescent="0.25">
      <c r="A107" s="8"/>
      <c r="B107" s="339" t="s">
        <v>451</v>
      </c>
      <c r="C107" s="10" t="s">
        <v>488</v>
      </c>
      <c r="D107" s="68"/>
      <c r="E107" s="68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4"/>
      <c r="R107" s="176"/>
      <c r="S107" s="324">
        <v>2488.9</v>
      </c>
      <c r="T107" s="324">
        <f t="shared" si="72"/>
        <v>2488.9</v>
      </c>
      <c r="U107" s="176"/>
      <c r="V107" s="176"/>
      <c r="W107" s="176"/>
      <c r="X107" s="176"/>
      <c r="Y107" s="176"/>
      <c r="Z107" s="176"/>
      <c r="AA107" s="176"/>
      <c r="AB107" s="176">
        <v>2488.9</v>
      </c>
      <c r="AC107" s="176"/>
      <c r="AD107" s="176"/>
      <c r="AE107" s="176"/>
      <c r="AF107" s="176"/>
      <c r="AG107" s="346">
        <f t="shared" si="83"/>
        <v>2488.9</v>
      </c>
      <c r="AH107" s="337"/>
      <c r="AI107" s="170"/>
      <c r="AJ107" s="337">
        <f t="shared" si="80"/>
        <v>0</v>
      </c>
      <c r="AK107" s="319">
        <f t="shared" si="81"/>
        <v>0</v>
      </c>
      <c r="AL107" s="324"/>
      <c r="AM107" s="324">
        <f t="shared" si="84"/>
        <v>0</v>
      </c>
      <c r="AN107" s="324">
        <f t="shared" si="84"/>
        <v>0</v>
      </c>
      <c r="AO107" s="318">
        <f t="shared" si="58"/>
        <v>0</v>
      </c>
      <c r="AP107" s="324">
        <f t="shared" si="85"/>
        <v>0</v>
      </c>
      <c r="AQ107" s="176"/>
      <c r="AR107" s="176">
        <f t="shared" si="86"/>
        <v>0</v>
      </c>
      <c r="AS107" s="174">
        <f t="shared" si="61"/>
        <v>0</v>
      </c>
      <c r="AT107" s="176"/>
      <c r="AU107" s="176">
        <f t="shared" si="87"/>
        <v>0</v>
      </c>
      <c r="AV107" s="176"/>
      <c r="AW107" s="345">
        <f t="shared" si="63"/>
        <v>0</v>
      </c>
      <c r="AX107" s="174"/>
      <c r="AY107" s="176"/>
      <c r="AZ107" s="176"/>
      <c r="BA107" s="176"/>
      <c r="BB107" s="176"/>
      <c r="BC107" s="176"/>
      <c r="BD107" s="176"/>
      <c r="BE107" s="176"/>
      <c r="BF107" s="176"/>
      <c r="BG107" s="176"/>
      <c r="BH107" s="176"/>
      <c r="BI107" s="176"/>
      <c r="BJ107" s="176"/>
      <c r="BK107" s="176"/>
      <c r="BL107" s="176"/>
      <c r="BM107" s="346">
        <f t="shared" si="73"/>
        <v>0</v>
      </c>
      <c r="BN107" s="337"/>
      <c r="BO107" s="170"/>
      <c r="BP107" s="102">
        <f t="shared" si="82"/>
        <v>0</v>
      </c>
      <c r="BQ107" s="186"/>
      <c r="BR107" s="186">
        <f t="shared" si="96"/>
        <v>0</v>
      </c>
      <c r="BS107" s="186">
        <f t="shared" si="97"/>
        <v>0</v>
      </c>
      <c r="BT107" s="186">
        <f t="shared" si="95"/>
        <v>-2488.9</v>
      </c>
      <c r="BU107" s="554"/>
    </row>
    <row r="108" spans="1:73" s="547" customFormat="1" ht="65.25" customHeight="1" outlineLevel="7" x14ac:dyDescent="0.25">
      <c r="A108" s="8"/>
      <c r="B108" s="9" t="s">
        <v>142</v>
      </c>
      <c r="C108" s="10" t="s">
        <v>141</v>
      </c>
      <c r="D108" s="68"/>
      <c r="E108" s="68"/>
      <c r="F108" s="176"/>
      <c r="G108" s="176">
        <v>1547.1</v>
      </c>
      <c r="H108" s="176">
        <v>772.4</v>
      </c>
      <c r="I108" s="176">
        <v>772.4</v>
      </c>
      <c r="J108" s="176">
        <v>2206.9</v>
      </c>
      <c r="K108" s="176"/>
      <c r="L108" s="176">
        <v>367.8</v>
      </c>
      <c r="M108" s="176">
        <v>367.8</v>
      </c>
      <c r="N108" s="176">
        <v>768.2</v>
      </c>
      <c r="O108" s="176">
        <v>768.2</v>
      </c>
      <c r="P108" s="176">
        <v>768.2</v>
      </c>
      <c r="Q108" s="176">
        <v>457.4</v>
      </c>
      <c r="R108" s="176">
        <f>F108+G108+H108+I108+J108+K108+L108+M108+N108+O108+P108+Q108</f>
        <v>8796.4</v>
      </c>
      <c r="S108" s="324">
        <v>14856.8</v>
      </c>
      <c r="T108" s="324">
        <f t="shared" si="72"/>
        <v>13566.300000000001</v>
      </c>
      <c r="U108" s="176"/>
      <c r="V108" s="176"/>
      <c r="W108" s="176">
        <v>1353.4</v>
      </c>
      <c r="X108" s="176">
        <v>3240</v>
      </c>
      <c r="Y108" s="176">
        <v>2916.5</v>
      </c>
      <c r="Z108" s="176"/>
      <c r="AA108" s="176">
        <v>729.1</v>
      </c>
      <c r="AB108" s="176">
        <v>2176.5</v>
      </c>
      <c r="AC108" s="176"/>
      <c r="AD108" s="176">
        <v>1718.6</v>
      </c>
      <c r="AE108" s="176">
        <v>1432.2</v>
      </c>
      <c r="AF108" s="176">
        <v>1290.5</v>
      </c>
      <c r="AG108" s="346">
        <f t="shared" si="83"/>
        <v>14856.800000000001</v>
      </c>
      <c r="AH108" s="337"/>
      <c r="AI108" s="170">
        <f>17967.6-91.3</f>
        <v>17876.3</v>
      </c>
      <c r="AJ108" s="337">
        <f t="shared" si="80"/>
        <v>14222</v>
      </c>
      <c r="AK108" s="319">
        <f t="shared" si="81"/>
        <v>4511.3999999999996</v>
      </c>
      <c r="AL108" s="324"/>
      <c r="AM108" s="324">
        <f t="shared" si="84"/>
        <v>3007.6</v>
      </c>
      <c r="AN108" s="324">
        <f t="shared" si="84"/>
        <v>1503.8</v>
      </c>
      <c r="AO108" s="318">
        <f t="shared" si="58"/>
        <v>5943.7</v>
      </c>
      <c r="AP108" s="324">
        <f t="shared" si="85"/>
        <v>1503.8</v>
      </c>
      <c r="AQ108" s="176">
        <f>BE108</f>
        <v>4439.8999999999996</v>
      </c>
      <c r="AR108" s="176">
        <f t="shared" si="86"/>
        <v>0</v>
      </c>
      <c r="AS108" s="174">
        <f t="shared" si="61"/>
        <v>716.1</v>
      </c>
      <c r="AT108" s="176"/>
      <c r="AU108" s="176">
        <f t="shared" si="87"/>
        <v>716.1</v>
      </c>
      <c r="AV108" s="176"/>
      <c r="AW108" s="345">
        <f t="shared" si="63"/>
        <v>3050.8</v>
      </c>
      <c r="AX108" s="176">
        <f>BJ108</f>
        <v>1525.4</v>
      </c>
      <c r="AY108" s="176">
        <f>BK108</f>
        <v>1525.4</v>
      </c>
      <c r="AZ108" s="176"/>
      <c r="BA108" s="176"/>
      <c r="BB108" s="176">
        <v>3007.6</v>
      </c>
      <c r="BC108" s="176">
        <v>1503.8</v>
      </c>
      <c r="BD108" s="176">
        <v>1503.8</v>
      </c>
      <c r="BE108" s="176">
        <v>4439.8999999999996</v>
      </c>
      <c r="BF108" s="176"/>
      <c r="BG108" s="176">
        <v>716.1</v>
      </c>
      <c r="BH108" s="176">
        <v>716.1</v>
      </c>
      <c r="BI108" s="176">
        <v>1525.4</v>
      </c>
      <c r="BJ108" s="176">
        <v>1525.4</v>
      </c>
      <c r="BK108" s="176">
        <v>1525.4</v>
      </c>
      <c r="BL108" s="176">
        <v>1412.8</v>
      </c>
      <c r="BM108" s="346">
        <f t="shared" si="73"/>
        <v>17876.3</v>
      </c>
      <c r="BN108" s="337"/>
      <c r="BO108" s="170"/>
      <c r="BP108" s="102">
        <f t="shared" si="82"/>
        <v>17876.3</v>
      </c>
      <c r="BQ108" s="186">
        <f>BM108/AI108*100</f>
        <v>100</v>
      </c>
      <c r="BR108" s="186">
        <f t="shared" si="96"/>
        <v>0</v>
      </c>
      <c r="BS108" s="186">
        <f t="shared" si="97"/>
        <v>120.32402670830864</v>
      </c>
      <c r="BT108" s="186">
        <f t="shared" si="95"/>
        <v>3019.4999999999982</v>
      </c>
      <c r="BU108" s="554"/>
    </row>
    <row r="109" spans="1:73" s="547" customFormat="1" ht="87" customHeight="1" outlineLevel="7" x14ac:dyDescent="0.25">
      <c r="A109" s="8"/>
      <c r="B109" s="2" t="s">
        <v>459</v>
      </c>
      <c r="C109" s="10" t="s">
        <v>85</v>
      </c>
      <c r="D109" s="68"/>
      <c r="E109" s="68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324">
        <v>351.1</v>
      </c>
      <c r="T109" s="324">
        <f t="shared" si="72"/>
        <v>351.1</v>
      </c>
      <c r="U109" s="176"/>
      <c r="V109" s="176"/>
      <c r="W109" s="176">
        <v>74.900000000000006</v>
      </c>
      <c r="X109" s="176">
        <v>276.2</v>
      </c>
      <c r="Y109" s="176"/>
      <c r="Z109" s="176"/>
      <c r="AA109" s="176"/>
      <c r="AB109" s="176"/>
      <c r="AC109" s="176"/>
      <c r="AD109" s="176"/>
      <c r="AE109" s="176"/>
      <c r="AF109" s="176"/>
      <c r="AG109" s="346">
        <f t="shared" si="83"/>
        <v>351.1</v>
      </c>
      <c r="AH109" s="337"/>
      <c r="AI109" s="170"/>
      <c r="AJ109" s="337">
        <f t="shared" si="80"/>
        <v>0</v>
      </c>
      <c r="AK109" s="319">
        <f t="shared" si="81"/>
        <v>0</v>
      </c>
      <c r="AL109" s="324"/>
      <c r="AM109" s="324">
        <f t="shared" si="84"/>
        <v>0</v>
      </c>
      <c r="AN109" s="324">
        <f t="shared" si="84"/>
        <v>0</v>
      </c>
      <c r="AO109" s="318">
        <f t="shared" si="58"/>
        <v>0</v>
      </c>
      <c r="AP109" s="324">
        <f t="shared" si="85"/>
        <v>0</v>
      </c>
      <c r="AQ109" s="176"/>
      <c r="AR109" s="176">
        <f t="shared" si="86"/>
        <v>0</v>
      </c>
      <c r="AS109" s="174">
        <f t="shared" si="61"/>
        <v>0</v>
      </c>
      <c r="AT109" s="176"/>
      <c r="AU109" s="176">
        <f t="shared" si="87"/>
        <v>0</v>
      </c>
      <c r="AV109" s="176"/>
      <c r="AW109" s="345">
        <f t="shared" si="63"/>
        <v>0</v>
      </c>
      <c r="AX109" s="176">
        <f t="shared" ref="AX109:AX112" si="98">BJ109</f>
        <v>0</v>
      </c>
      <c r="AY109" s="176"/>
      <c r="AZ109" s="176"/>
      <c r="BA109" s="176"/>
      <c r="BB109" s="176"/>
      <c r="BC109" s="176"/>
      <c r="BD109" s="176"/>
      <c r="BE109" s="176"/>
      <c r="BF109" s="176"/>
      <c r="BG109" s="176"/>
      <c r="BH109" s="176"/>
      <c r="BI109" s="176"/>
      <c r="BJ109" s="176"/>
      <c r="BK109" s="176"/>
      <c r="BL109" s="176"/>
      <c r="BM109" s="346">
        <f t="shared" si="73"/>
        <v>0</v>
      </c>
      <c r="BN109" s="337"/>
      <c r="BO109" s="170"/>
      <c r="BP109" s="102">
        <f t="shared" si="82"/>
        <v>0</v>
      </c>
      <c r="BQ109" s="186"/>
      <c r="BR109" s="186">
        <f t="shared" si="96"/>
        <v>0</v>
      </c>
      <c r="BS109" s="186">
        <f t="shared" si="97"/>
        <v>0</v>
      </c>
      <c r="BT109" s="186">
        <f t="shared" si="95"/>
        <v>-351.1</v>
      </c>
      <c r="BU109" s="554"/>
    </row>
    <row r="110" spans="1:73" s="547" customFormat="1" ht="140.25" hidden="1" customHeight="1" outlineLevel="7" x14ac:dyDescent="0.25">
      <c r="A110" s="8"/>
      <c r="B110" s="237"/>
      <c r="C110" s="10"/>
      <c r="D110" s="68"/>
      <c r="E110" s="68"/>
      <c r="F110" s="176"/>
      <c r="G110" s="176"/>
      <c r="H110" s="176"/>
      <c r="I110" s="176"/>
      <c r="J110" s="176">
        <v>2518.8000000000002</v>
      </c>
      <c r="K110" s="176">
        <v>113.9</v>
      </c>
      <c r="L110" s="176"/>
      <c r="M110" s="176"/>
      <c r="N110" s="176"/>
      <c r="O110" s="176"/>
      <c r="P110" s="174"/>
      <c r="Q110" s="174"/>
      <c r="R110" s="176">
        <f t="shared" ref="R110" si="99">F110+G110+H110+I110+J110+K110+L110+M110+N110+O110+P110+Q110</f>
        <v>2632.7000000000003</v>
      </c>
      <c r="S110" s="324">
        <v>0</v>
      </c>
      <c r="T110" s="324">
        <f t="shared" si="72"/>
        <v>0</v>
      </c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346">
        <f t="shared" si="83"/>
        <v>0</v>
      </c>
      <c r="AH110" s="337"/>
      <c r="AI110" s="170"/>
      <c r="AJ110" s="337">
        <f t="shared" si="80"/>
        <v>0</v>
      </c>
      <c r="AK110" s="319">
        <f t="shared" si="81"/>
        <v>0</v>
      </c>
      <c r="AL110" s="324"/>
      <c r="AM110" s="324">
        <f t="shared" si="84"/>
        <v>0</v>
      </c>
      <c r="AN110" s="324">
        <f t="shared" si="84"/>
        <v>0</v>
      </c>
      <c r="AO110" s="318">
        <f t="shared" si="58"/>
        <v>0</v>
      </c>
      <c r="AP110" s="324">
        <f t="shared" si="85"/>
        <v>0</v>
      </c>
      <c r="AQ110" s="176"/>
      <c r="AR110" s="176">
        <f t="shared" si="86"/>
        <v>0</v>
      </c>
      <c r="AS110" s="174">
        <f t="shared" si="61"/>
        <v>0</v>
      </c>
      <c r="AT110" s="176"/>
      <c r="AU110" s="176">
        <f t="shared" si="87"/>
        <v>0</v>
      </c>
      <c r="AV110" s="176"/>
      <c r="AW110" s="345">
        <f t="shared" si="63"/>
        <v>0</v>
      </c>
      <c r="AX110" s="176">
        <f t="shared" si="98"/>
        <v>0</v>
      </c>
      <c r="AY110" s="176"/>
      <c r="AZ110" s="176"/>
      <c r="BA110" s="176"/>
      <c r="BB110" s="176"/>
      <c r="BC110" s="176"/>
      <c r="BD110" s="176"/>
      <c r="BE110" s="176"/>
      <c r="BF110" s="176"/>
      <c r="BG110" s="176"/>
      <c r="BH110" s="176"/>
      <c r="BI110" s="176"/>
      <c r="BJ110" s="176"/>
      <c r="BK110" s="176"/>
      <c r="BL110" s="176"/>
      <c r="BM110" s="346">
        <f t="shared" si="73"/>
        <v>0</v>
      </c>
      <c r="BN110" s="337"/>
      <c r="BO110" s="170" t="e">
        <f>BM110/AH110*100</f>
        <v>#DIV/0!</v>
      </c>
      <c r="BP110" s="102">
        <f t="shared" si="82"/>
        <v>0</v>
      </c>
      <c r="BQ110" s="186" t="e">
        <f>BM110/AI110*100</f>
        <v>#DIV/0!</v>
      </c>
      <c r="BR110" s="186">
        <f t="shared" si="96"/>
        <v>0</v>
      </c>
      <c r="BS110" s="186" t="e">
        <f t="shared" si="97"/>
        <v>#DIV/0!</v>
      </c>
      <c r="BT110" s="186">
        <f t="shared" si="95"/>
        <v>0</v>
      </c>
      <c r="BU110" s="554"/>
    </row>
    <row r="111" spans="1:73" s="547" customFormat="1" ht="34.5" hidden="1" customHeight="1" outlineLevel="7" x14ac:dyDescent="0.25">
      <c r="A111" s="178"/>
      <c r="B111" s="341"/>
      <c r="C111" s="179"/>
      <c r="D111" s="68"/>
      <c r="E111" s="68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4"/>
      <c r="Q111" s="174"/>
      <c r="R111" s="176"/>
      <c r="S111" s="324"/>
      <c r="T111" s="324">
        <f t="shared" si="72"/>
        <v>0</v>
      </c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346"/>
      <c r="AH111" s="337"/>
      <c r="AI111" s="170"/>
      <c r="AJ111" s="337"/>
      <c r="AK111" s="319"/>
      <c r="AL111" s="324"/>
      <c r="AM111" s="324"/>
      <c r="AN111" s="324"/>
      <c r="AO111" s="318"/>
      <c r="AP111" s="324"/>
      <c r="AQ111" s="176"/>
      <c r="AR111" s="176">
        <f t="shared" si="86"/>
        <v>0</v>
      </c>
      <c r="AS111" s="174"/>
      <c r="AT111" s="176"/>
      <c r="AU111" s="176">
        <f t="shared" si="87"/>
        <v>0</v>
      </c>
      <c r="AV111" s="176"/>
      <c r="AW111" s="345"/>
      <c r="AX111" s="176">
        <f t="shared" si="98"/>
        <v>0</v>
      </c>
      <c r="AY111" s="176"/>
      <c r="AZ111" s="176"/>
      <c r="BA111" s="176"/>
      <c r="BB111" s="176"/>
      <c r="BC111" s="176"/>
      <c r="BD111" s="176"/>
      <c r="BE111" s="176"/>
      <c r="BF111" s="176"/>
      <c r="BG111" s="176"/>
      <c r="BH111" s="176"/>
      <c r="BI111" s="176"/>
      <c r="BJ111" s="176"/>
      <c r="BK111" s="176"/>
      <c r="BL111" s="176"/>
      <c r="BM111" s="346"/>
      <c r="BN111" s="337"/>
      <c r="BO111" s="170" t="e">
        <f>BM111/AH111*100</f>
        <v>#DIV/0!</v>
      </c>
      <c r="BP111" s="102">
        <f t="shared" si="82"/>
        <v>0</v>
      </c>
      <c r="BQ111" s="186" t="e">
        <f>BM111/AI111*100</f>
        <v>#DIV/0!</v>
      </c>
      <c r="BR111" s="186">
        <f t="shared" si="96"/>
        <v>0</v>
      </c>
      <c r="BS111" s="186" t="e">
        <f t="shared" si="97"/>
        <v>#DIV/0!</v>
      </c>
      <c r="BT111" s="186">
        <f t="shared" si="95"/>
        <v>0</v>
      </c>
      <c r="BU111" s="554"/>
    </row>
    <row r="112" spans="1:73" s="547" customFormat="1" ht="30" outlineLevel="7" x14ac:dyDescent="0.25">
      <c r="A112" s="178"/>
      <c r="B112" s="9" t="s">
        <v>271</v>
      </c>
      <c r="C112" s="179" t="s">
        <v>360</v>
      </c>
      <c r="D112" s="68"/>
      <c r="E112" s="68"/>
      <c r="F112" s="176">
        <v>1735</v>
      </c>
      <c r="G112" s="176"/>
      <c r="H112" s="176">
        <v>62</v>
      </c>
      <c r="I112" s="176">
        <v>1735</v>
      </c>
      <c r="J112" s="176"/>
      <c r="K112" s="176"/>
      <c r="L112" s="176">
        <v>1735</v>
      </c>
      <c r="M112" s="176"/>
      <c r="N112" s="176"/>
      <c r="O112" s="176">
        <v>1673</v>
      </c>
      <c r="P112" s="176"/>
      <c r="Q112" s="176"/>
      <c r="R112" s="176">
        <f>F112+G112+H112+I112+J112+K112+L112+M112+N112+O112+P112+Q112</f>
        <v>6940</v>
      </c>
      <c r="S112" s="324">
        <v>8939.6</v>
      </c>
      <c r="T112" s="324">
        <f t="shared" si="72"/>
        <v>8939.6</v>
      </c>
      <c r="U112" s="176">
        <v>2383.8000000000002</v>
      </c>
      <c r="V112" s="176"/>
      <c r="W112" s="176"/>
      <c r="X112" s="176">
        <v>2185.3000000000002</v>
      </c>
      <c r="Y112" s="176"/>
      <c r="Z112" s="176"/>
      <c r="AA112" s="176">
        <v>2185.3000000000002</v>
      </c>
      <c r="AB112" s="176"/>
      <c r="AC112" s="176">
        <v>-0.1</v>
      </c>
      <c r="AD112" s="176">
        <v>2185.3000000000002</v>
      </c>
      <c r="AE112" s="176"/>
      <c r="AF112" s="176"/>
      <c r="AG112" s="346">
        <f t="shared" si="83"/>
        <v>8939.6</v>
      </c>
      <c r="AH112" s="337">
        <v>9569.4</v>
      </c>
      <c r="AI112" s="170">
        <v>9569.7000000000007</v>
      </c>
      <c r="AJ112" s="337">
        <f t="shared" si="80"/>
        <v>4784.8</v>
      </c>
      <c r="AK112" s="319">
        <f t="shared" si="81"/>
        <v>0</v>
      </c>
      <c r="AL112" s="324"/>
      <c r="AM112" s="324">
        <f t="shared" si="84"/>
        <v>0</v>
      </c>
      <c r="AN112" s="324">
        <f t="shared" si="84"/>
        <v>0</v>
      </c>
      <c r="AO112" s="318">
        <f t="shared" ref="AO112:AO128" si="100">AP112+AQ112+AR112</f>
        <v>2392.4</v>
      </c>
      <c r="AP112" s="324">
        <f t="shared" si="85"/>
        <v>2392.4</v>
      </c>
      <c r="AQ112" s="324"/>
      <c r="AR112" s="176">
        <f t="shared" si="86"/>
        <v>0</v>
      </c>
      <c r="AS112" s="174">
        <f t="shared" ref="AS112:AS128" si="101">AT112+AU112+AV112</f>
        <v>0</v>
      </c>
      <c r="AT112" s="176"/>
      <c r="AU112" s="176">
        <f t="shared" si="87"/>
        <v>0</v>
      </c>
      <c r="AV112" s="176"/>
      <c r="AW112" s="345">
        <f t="shared" ref="AW112:AW128" si="102">AX112+AY112+AZ112</f>
        <v>2392.4</v>
      </c>
      <c r="AX112" s="176">
        <f t="shared" si="98"/>
        <v>2392.4</v>
      </c>
      <c r="AY112" s="176"/>
      <c r="AZ112" s="176"/>
      <c r="BA112" s="176">
        <v>2392.4</v>
      </c>
      <c r="BB112" s="176"/>
      <c r="BC112" s="176"/>
      <c r="BD112" s="176">
        <v>2392.4</v>
      </c>
      <c r="BE112" s="176"/>
      <c r="BF112" s="176"/>
      <c r="BG112" s="176">
        <v>2392.5</v>
      </c>
      <c r="BH112" s="176"/>
      <c r="BI112" s="176"/>
      <c r="BJ112" s="176">
        <v>2392.4</v>
      </c>
      <c r="BK112" s="176"/>
      <c r="BL112" s="176"/>
      <c r="BM112" s="346">
        <f t="shared" si="73"/>
        <v>9569.7000000000007</v>
      </c>
      <c r="BN112" s="337"/>
      <c r="BO112" s="170">
        <f>BM112/AH112*100</f>
        <v>100.00313499278953</v>
      </c>
      <c r="BP112" s="102">
        <f t="shared" si="82"/>
        <v>0.30000000000109139</v>
      </c>
      <c r="BQ112" s="186">
        <f>BM112/AI112*100</f>
        <v>100</v>
      </c>
      <c r="BR112" s="186">
        <f t="shared" si="96"/>
        <v>0</v>
      </c>
      <c r="BS112" s="186">
        <f t="shared" si="97"/>
        <v>107.04841379927514</v>
      </c>
      <c r="BT112" s="186">
        <f t="shared" si="95"/>
        <v>630.10000000000036</v>
      </c>
      <c r="BU112" s="554"/>
    </row>
    <row r="113" spans="1:74" s="547" customFormat="1" ht="21.75" customHeight="1" outlineLevel="7" x14ac:dyDescent="0.25">
      <c r="A113" s="8"/>
      <c r="B113" s="342" t="s">
        <v>143</v>
      </c>
      <c r="C113" s="24"/>
      <c r="D113" s="169">
        <v>15655.3</v>
      </c>
      <c r="E113" s="169">
        <v>45778.400000000001</v>
      </c>
      <c r="F113" s="106">
        <f t="shared" ref="F113:AF113" si="103">SUM(F114:F124)</f>
        <v>0</v>
      </c>
      <c r="G113" s="106">
        <f t="shared" si="103"/>
        <v>270.60000000000002</v>
      </c>
      <c r="H113" s="106">
        <f t="shared" si="103"/>
        <v>516.5</v>
      </c>
      <c r="I113" s="106">
        <f t="shared" si="103"/>
        <v>262.5</v>
      </c>
      <c r="J113" s="106">
        <f t="shared" si="103"/>
        <v>1044.7</v>
      </c>
      <c r="K113" s="106">
        <f t="shared" si="103"/>
        <v>1400</v>
      </c>
      <c r="L113" s="106">
        <f t="shared" si="103"/>
        <v>985.8</v>
      </c>
      <c r="M113" s="106">
        <f t="shared" si="103"/>
        <v>1578.5</v>
      </c>
      <c r="N113" s="106">
        <f t="shared" si="103"/>
        <v>277.39999999999998</v>
      </c>
      <c r="O113" s="106">
        <f t="shared" si="103"/>
        <v>20285.699999999997</v>
      </c>
      <c r="P113" s="106">
        <f t="shared" si="103"/>
        <v>330.9</v>
      </c>
      <c r="Q113" s="106">
        <f t="shared" si="103"/>
        <v>2746.1</v>
      </c>
      <c r="R113" s="106">
        <f t="shared" si="103"/>
        <v>29698.799999999999</v>
      </c>
      <c r="S113" s="106">
        <f t="shared" si="103"/>
        <v>46473</v>
      </c>
      <c r="T113" s="106">
        <f t="shared" si="103"/>
        <v>45504.800000000003</v>
      </c>
      <c r="U113" s="106">
        <f t="shared" si="103"/>
        <v>0</v>
      </c>
      <c r="V113" s="106">
        <f t="shared" si="103"/>
        <v>274.2</v>
      </c>
      <c r="W113" s="106">
        <f t="shared" si="103"/>
        <v>3635.9</v>
      </c>
      <c r="X113" s="106">
        <f t="shared" si="103"/>
        <v>659.9</v>
      </c>
      <c r="Y113" s="106">
        <f t="shared" si="103"/>
        <v>705.2</v>
      </c>
      <c r="Z113" s="106">
        <f t="shared" si="103"/>
        <v>652.29999999999995</v>
      </c>
      <c r="AA113" s="106">
        <f t="shared" si="103"/>
        <v>72.900000000000006</v>
      </c>
      <c r="AB113" s="106">
        <f t="shared" si="103"/>
        <v>7529.7000000000007</v>
      </c>
      <c r="AC113" s="106">
        <f t="shared" si="103"/>
        <v>15122.9</v>
      </c>
      <c r="AD113" s="106">
        <f t="shared" si="103"/>
        <v>15805</v>
      </c>
      <c r="AE113" s="106">
        <f t="shared" si="103"/>
        <v>1046.8</v>
      </c>
      <c r="AF113" s="106">
        <f t="shared" si="103"/>
        <v>968.2</v>
      </c>
      <c r="AG113" s="338">
        <f>AG114+AG116+AG118+AG119+AG120+AG121+AG122+AG123+AG124</f>
        <v>46473</v>
      </c>
      <c r="AH113" s="338">
        <f>AH114+AH116+AH118+AH119+AH120+AH121+AH122+AH123+AH124+AH115</f>
        <v>107</v>
      </c>
      <c r="AI113" s="338">
        <f>AI114+AI116+AI118+AI119+AI120+AI121+AI122+AI123+AI124+AI115+AI117</f>
        <v>45082.5</v>
      </c>
      <c r="AJ113" s="338">
        <f t="shared" ref="AJ113:BR113" si="104">AJ114+AJ116+AJ118+AJ119+AJ120+AJ121+AJ122+AJ123+AJ124+AJ115+AJ117</f>
        <v>22641.600000000002</v>
      </c>
      <c r="AK113" s="338">
        <f t="shared" si="104"/>
        <v>1441</v>
      </c>
      <c r="AL113" s="338">
        <f t="shared" si="104"/>
        <v>0</v>
      </c>
      <c r="AM113" s="338">
        <f t="shared" si="104"/>
        <v>279.59999999999997</v>
      </c>
      <c r="AN113" s="338">
        <f t="shared" si="104"/>
        <v>1161.4000000000001</v>
      </c>
      <c r="AO113" s="338">
        <f t="shared" si="104"/>
        <v>1639.4</v>
      </c>
      <c r="AP113" s="338">
        <f t="shared" si="104"/>
        <v>135.20000000000002</v>
      </c>
      <c r="AQ113" s="338">
        <f t="shared" si="104"/>
        <v>523.6</v>
      </c>
      <c r="AR113" s="338">
        <f t="shared" si="104"/>
        <v>980.6</v>
      </c>
      <c r="AS113" s="338">
        <f t="shared" si="104"/>
        <v>821.19999999999993</v>
      </c>
      <c r="AT113" s="338">
        <f t="shared" si="104"/>
        <v>0</v>
      </c>
      <c r="AU113" s="338">
        <f t="shared" si="104"/>
        <v>686.19999999999993</v>
      </c>
      <c r="AV113" s="338">
        <f t="shared" si="104"/>
        <v>135</v>
      </c>
      <c r="AW113" s="338">
        <f t="shared" si="104"/>
        <v>18740</v>
      </c>
      <c r="AX113" s="338">
        <f t="shared" si="104"/>
        <v>4175.7</v>
      </c>
      <c r="AY113" s="338">
        <f t="shared" si="104"/>
        <v>13702.7</v>
      </c>
      <c r="AZ113" s="338">
        <f t="shared" si="104"/>
        <v>861.6</v>
      </c>
      <c r="BA113" s="338">
        <f t="shared" si="104"/>
        <v>9715</v>
      </c>
      <c r="BB113" s="338">
        <f t="shared" si="104"/>
        <v>279.59999999999997</v>
      </c>
      <c r="BC113" s="338">
        <f t="shared" si="104"/>
        <v>1161.4000000000001</v>
      </c>
      <c r="BD113" s="338">
        <f t="shared" si="104"/>
        <v>135.20000000000002</v>
      </c>
      <c r="BE113" s="338">
        <f t="shared" si="104"/>
        <v>523.6</v>
      </c>
      <c r="BF113" s="338">
        <f t="shared" si="104"/>
        <v>980.6</v>
      </c>
      <c r="BG113" s="338">
        <f t="shared" si="104"/>
        <v>285.8</v>
      </c>
      <c r="BH113" s="338">
        <f t="shared" si="104"/>
        <v>996.19999999999993</v>
      </c>
      <c r="BI113" s="338">
        <f t="shared" si="104"/>
        <v>12160.2</v>
      </c>
      <c r="BJ113" s="338">
        <f t="shared" si="104"/>
        <v>4175.7</v>
      </c>
      <c r="BK113" s="338">
        <f t="shared" si="104"/>
        <v>13702.7</v>
      </c>
      <c r="BL113" s="338">
        <f t="shared" si="104"/>
        <v>966.50000000000011</v>
      </c>
      <c r="BM113" s="338">
        <f t="shared" si="104"/>
        <v>45082.5</v>
      </c>
      <c r="BN113" s="338">
        <f t="shared" si="104"/>
        <v>0</v>
      </c>
      <c r="BO113" s="169">
        <f>BM113/AH113*100</f>
        <v>42133.17757009346</v>
      </c>
      <c r="BP113" s="338">
        <f t="shared" si="104"/>
        <v>44975.5</v>
      </c>
      <c r="BQ113" s="187">
        <f>BM113/AI113*100</f>
        <v>100</v>
      </c>
      <c r="BR113" s="338">
        <f t="shared" si="104"/>
        <v>0</v>
      </c>
      <c r="BS113" s="187">
        <f t="shared" si="97"/>
        <v>97.007940094248269</v>
      </c>
      <c r="BT113" s="187">
        <f t="shared" si="95"/>
        <v>-1390.5</v>
      </c>
      <c r="BU113" s="554"/>
      <c r="BV113" s="72"/>
    </row>
    <row r="114" spans="1:74" s="19" customFormat="1" ht="63" customHeight="1" outlineLevel="7" x14ac:dyDescent="0.25">
      <c r="A114" s="18"/>
      <c r="B114" s="9" t="s">
        <v>332</v>
      </c>
      <c r="C114" s="20" t="s">
        <v>275</v>
      </c>
      <c r="D114" s="173"/>
      <c r="E114" s="173"/>
      <c r="F114" s="176"/>
      <c r="G114" s="176"/>
      <c r="H114" s="176">
        <v>381.2</v>
      </c>
      <c r="I114" s="176">
        <v>127.1</v>
      </c>
      <c r="J114" s="176">
        <v>381.2</v>
      </c>
      <c r="K114" s="176"/>
      <c r="L114" s="176">
        <v>63.5</v>
      </c>
      <c r="M114" s="176">
        <v>63.6</v>
      </c>
      <c r="N114" s="176">
        <v>127.1</v>
      </c>
      <c r="O114" s="176">
        <v>127</v>
      </c>
      <c r="P114" s="176">
        <v>127.1</v>
      </c>
      <c r="Q114" s="176">
        <v>127.1</v>
      </c>
      <c r="R114" s="176">
        <f>F114+G114+H114+I114+J114+K114+L114+M114+N114+O114+P114+Q114</f>
        <v>1524.8999999999999</v>
      </c>
      <c r="S114" s="324">
        <v>1556</v>
      </c>
      <c r="T114" s="324">
        <f t="shared" si="72"/>
        <v>1441</v>
      </c>
      <c r="U114" s="176"/>
      <c r="V114" s="176"/>
      <c r="W114" s="176"/>
      <c r="X114" s="176">
        <v>524</v>
      </c>
      <c r="Y114" s="176">
        <f>300+131</f>
        <v>431</v>
      </c>
      <c r="Z114" s="176"/>
      <c r="AA114" s="176"/>
      <c r="AB114" s="176">
        <v>93</v>
      </c>
      <c r="AC114" s="176">
        <v>131</v>
      </c>
      <c r="AD114" s="176">
        <v>131</v>
      </c>
      <c r="AE114" s="176">
        <v>131</v>
      </c>
      <c r="AF114" s="176">
        <v>115</v>
      </c>
      <c r="AG114" s="346">
        <f t="shared" si="83"/>
        <v>1556</v>
      </c>
      <c r="AH114" s="337"/>
      <c r="AI114" s="170">
        <v>1556</v>
      </c>
      <c r="AJ114" s="337">
        <f t="shared" ref="AJ114" si="105">AK114+AO114+AS114+AW114</f>
        <v>1556</v>
      </c>
      <c r="AK114" s="319">
        <f t="shared" ref="AK114" si="106">AL114+AM114+AN114</f>
        <v>0</v>
      </c>
      <c r="AL114" s="324"/>
      <c r="AM114" s="324"/>
      <c r="AN114" s="324">
        <f>BC114</f>
        <v>0</v>
      </c>
      <c r="AO114" s="318">
        <f t="shared" si="100"/>
        <v>980.6</v>
      </c>
      <c r="AP114" s="324">
        <f>BD114</f>
        <v>0</v>
      </c>
      <c r="AQ114" s="324"/>
      <c r="AR114" s="176">
        <f>BF114</f>
        <v>980.6</v>
      </c>
      <c r="AS114" s="174">
        <f t="shared" si="101"/>
        <v>228</v>
      </c>
      <c r="AT114" s="176">
        <f t="shared" ref="AT114:AV114" si="107">BG114</f>
        <v>0</v>
      </c>
      <c r="AU114" s="176">
        <f>BH114</f>
        <v>93</v>
      </c>
      <c r="AV114" s="176">
        <f t="shared" si="107"/>
        <v>135</v>
      </c>
      <c r="AW114" s="345">
        <f t="shared" si="102"/>
        <v>347.4</v>
      </c>
      <c r="AX114" s="176">
        <f t="shared" ref="AX114:AZ114" si="108">BJ114</f>
        <v>135</v>
      </c>
      <c r="AY114" s="176">
        <f t="shared" si="108"/>
        <v>135</v>
      </c>
      <c r="AZ114" s="176">
        <f t="shared" si="108"/>
        <v>77.400000000000006</v>
      </c>
      <c r="BA114" s="176"/>
      <c r="BB114" s="176"/>
      <c r="BC114" s="176"/>
      <c r="BD114" s="176"/>
      <c r="BE114" s="176"/>
      <c r="BF114" s="176">
        <v>980.6</v>
      </c>
      <c r="BG114" s="176"/>
      <c r="BH114" s="176">
        <v>93</v>
      </c>
      <c r="BI114" s="176">
        <v>135</v>
      </c>
      <c r="BJ114" s="176">
        <v>135</v>
      </c>
      <c r="BK114" s="176">
        <v>135</v>
      </c>
      <c r="BL114" s="176">
        <v>77.400000000000006</v>
      </c>
      <c r="BM114" s="346">
        <f t="shared" si="73"/>
        <v>1556</v>
      </c>
      <c r="BN114" s="337"/>
      <c r="BO114" s="170"/>
      <c r="BP114" s="102">
        <f t="shared" ref="BP114:BP128" si="109">BM114-AH114</f>
        <v>1556</v>
      </c>
      <c r="BQ114" s="186">
        <f>BM114/AI114*100</f>
        <v>100</v>
      </c>
      <c r="BR114" s="186">
        <f>BM114-AI114</f>
        <v>0</v>
      </c>
      <c r="BS114" s="186">
        <f t="shared" si="97"/>
        <v>100</v>
      </c>
      <c r="BT114" s="186">
        <f t="shared" si="95"/>
        <v>0</v>
      </c>
      <c r="BV114" s="204"/>
    </row>
    <row r="115" spans="1:74" s="19" customFormat="1" ht="60" outlineLevel="7" x14ac:dyDescent="0.25">
      <c r="A115" s="18"/>
      <c r="B115" s="9" t="s">
        <v>568</v>
      </c>
      <c r="C115" s="20" t="s">
        <v>228</v>
      </c>
      <c r="D115" s="173"/>
      <c r="E115" s="173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324"/>
      <c r="T115" s="324">
        <f t="shared" si="72"/>
        <v>0</v>
      </c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346">
        <v>0</v>
      </c>
      <c r="AH115" s="337">
        <v>43</v>
      </c>
      <c r="AI115" s="170">
        <v>0</v>
      </c>
      <c r="AJ115" s="337"/>
      <c r="AK115" s="319"/>
      <c r="AL115" s="324"/>
      <c r="AM115" s="324">
        <f>BB115</f>
        <v>0</v>
      </c>
      <c r="AN115" s="324">
        <f t="shared" ref="AN115:AN124" si="110">BC115</f>
        <v>0</v>
      </c>
      <c r="AO115" s="318"/>
      <c r="AP115" s="324">
        <f t="shared" ref="AP115:AQ128" si="111">BD115</f>
        <v>0</v>
      </c>
      <c r="AQ115" s="324"/>
      <c r="AR115" s="176">
        <f t="shared" ref="AR115:AR128" si="112">BF115</f>
        <v>0</v>
      </c>
      <c r="AS115" s="174"/>
      <c r="AT115" s="176"/>
      <c r="AU115" s="176">
        <f t="shared" ref="AU115:AU125" si="113">BH115</f>
        <v>0</v>
      </c>
      <c r="AV115" s="176"/>
      <c r="AW115" s="345"/>
      <c r="AX115" s="174"/>
      <c r="AY115" s="176"/>
      <c r="AZ115" s="176"/>
      <c r="BA115" s="176"/>
      <c r="BB115" s="176"/>
      <c r="BC115" s="176"/>
      <c r="BD115" s="176"/>
      <c r="BE115" s="176"/>
      <c r="BF115" s="176"/>
      <c r="BG115" s="176"/>
      <c r="BH115" s="176"/>
      <c r="BI115" s="176"/>
      <c r="BJ115" s="176"/>
      <c r="BK115" s="176"/>
      <c r="BL115" s="176"/>
      <c r="BM115" s="346">
        <f t="shared" si="73"/>
        <v>0</v>
      </c>
      <c r="BN115" s="337"/>
      <c r="BO115" s="170"/>
      <c r="BP115" s="102">
        <f t="shared" si="109"/>
        <v>-43</v>
      </c>
      <c r="BQ115" s="186"/>
      <c r="BR115" s="186">
        <f>BM115-AI115</f>
        <v>0</v>
      </c>
      <c r="BS115" s="186"/>
      <c r="BT115" s="186">
        <f t="shared" si="95"/>
        <v>0</v>
      </c>
      <c r="BV115" s="204"/>
    </row>
    <row r="116" spans="1:74" s="19" customFormat="1" ht="30" outlineLevel="7" x14ac:dyDescent="0.25">
      <c r="A116" s="18"/>
      <c r="B116" s="552" t="s">
        <v>659</v>
      </c>
      <c r="C116" s="20" t="s">
        <v>326</v>
      </c>
      <c r="D116" s="173"/>
      <c r="E116" s="173"/>
      <c r="F116" s="174"/>
      <c r="G116" s="174"/>
      <c r="H116" s="176"/>
      <c r="I116" s="176"/>
      <c r="J116" s="176"/>
      <c r="K116" s="174"/>
      <c r="L116" s="176"/>
      <c r="M116" s="174"/>
      <c r="N116" s="176"/>
      <c r="O116" s="174"/>
      <c r="P116" s="176"/>
      <c r="Q116" s="176">
        <v>869</v>
      </c>
      <c r="R116" s="176">
        <f>F116+G116+H116+I116+J116+K116+L116+M116+N116+O116+P116+Q116</f>
        <v>869</v>
      </c>
      <c r="S116" s="324">
        <v>689</v>
      </c>
      <c r="T116" s="324">
        <f t="shared" si="72"/>
        <v>0</v>
      </c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>
        <v>689</v>
      </c>
      <c r="AG116" s="346">
        <f t="shared" si="83"/>
        <v>689</v>
      </c>
      <c r="AH116" s="337"/>
      <c r="AI116" s="170">
        <v>784.2</v>
      </c>
      <c r="AJ116" s="337">
        <f t="shared" ref="AJ116:AJ128" si="114">AK116+AO116+AS116+AW116</f>
        <v>784.2</v>
      </c>
      <c r="AK116" s="319">
        <f t="shared" ref="AK116:AK128" si="115">AL116+AM116+AN116</f>
        <v>0</v>
      </c>
      <c r="AL116" s="324"/>
      <c r="AM116" s="324">
        <f t="shared" ref="AM116:AM128" si="116">BB116</f>
        <v>0</v>
      </c>
      <c r="AN116" s="324">
        <f t="shared" si="110"/>
        <v>0</v>
      </c>
      <c r="AO116" s="318">
        <f t="shared" si="100"/>
        <v>0</v>
      </c>
      <c r="AP116" s="324">
        <f t="shared" si="111"/>
        <v>0</v>
      </c>
      <c r="AQ116" s="324"/>
      <c r="AR116" s="176">
        <f t="shared" si="112"/>
        <v>0</v>
      </c>
      <c r="AS116" s="174">
        <f t="shared" si="101"/>
        <v>0</v>
      </c>
      <c r="AT116" s="176"/>
      <c r="AU116" s="176">
        <f t="shared" si="113"/>
        <v>0</v>
      </c>
      <c r="AV116" s="176"/>
      <c r="AW116" s="345">
        <f t="shared" si="102"/>
        <v>784.2</v>
      </c>
      <c r="AX116" s="174"/>
      <c r="AY116" s="176"/>
      <c r="AZ116" s="176">
        <v>784.2</v>
      </c>
      <c r="BA116" s="176"/>
      <c r="BB116" s="176"/>
      <c r="BC116" s="176"/>
      <c r="BD116" s="176"/>
      <c r="BE116" s="176"/>
      <c r="BF116" s="176"/>
      <c r="BG116" s="176"/>
      <c r="BH116" s="176"/>
      <c r="BI116" s="176"/>
      <c r="BJ116" s="176"/>
      <c r="BK116" s="176"/>
      <c r="BL116" s="176">
        <v>784.2</v>
      </c>
      <c r="BM116" s="346">
        <f t="shared" si="73"/>
        <v>784.2</v>
      </c>
      <c r="BN116" s="337"/>
      <c r="BO116" s="170"/>
      <c r="BP116" s="102">
        <f t="shared" si="109"/>
        <v>784.2</v>
      </c>
      <c r="BQ116" s="186">
        <f>BM116/AI116*100</f>
        <v>100</v>
      </c>
      <c r="BR116" s="186">
        <f>BM116-AI116</f>
        <v>0</v>
      </c>
      <c r="BS116" s="186">
        <f>BM116/AG116*100</f>
        <v>113.81712626995646</v>
      </c>
      <c r="BT116" s="186">
        <f t="shared" si="95"/>
        <v>95.200000000000045</v>
      </c>
      <c r="BV116" s="204"/>
    </row>
    <row r="117" spans="1:74" s="19" customFormat="1" ht="52.5" customHeight="1" outlineLevel="7" x14ac:dyDescent="0.25">
      <c r="A117" s="18"/>
      <c r="B117" s="552" t="s">
        <v>660</v>
      </c>
      <c r="C117" s="20" t="s">
        <v>251</v>
      </c>
      <c r="D117" s="173"/>
      <c r="E117" s="173"/>
      <c r="F117" s="174"/>
      <c r="G117" s="174"/>
      <c r="H117" s="176"/>
      <c r="I117" s="176"/>
      <c r="J117" s="176"/>
      <c r="K117" s="174"/>
      <c r="L117" s="176"/>
      <c r="M117" s="174"/>
      <c r="N117" s="176"/>
      <c r="O117" s="174"/>
      <c r="P117" s="176"/>
      <c r="Q117" s="176"/>
      <c r="R117" s="176"/>
      <c r="S117" s="324"/>
      <c r="T117" s="324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  <c r="AF117" s="176"/>
      <c r="AG117" s="346">
        <v>0</v>
      </c>
      <c r="AH117" s="337"/>
      <c r="AI117" s="170">
        <v>310</v>
      </c>
      <c r="AJ117" s="337"/>
      <c r="AK117" s="319"/>
      <c r="AL117" s="324"/>
      <c r="AM117" s="324"/>
      <c r="AN117" s="324"/>
      <c r="AO117" s="318"/>
      <c r="AP117" s="324"/>
      <c r="AQ117" s="324"/>
      <c r="AR117" s="176"/>
      <c r="AS117" s="174"/>
      <c r="AT117" s="176"/>
      <c r="AU117" s="176"/>
      <c r="AV117" s="176"/>
      <c r="AW117" s="345"/>
      <c r="AX117" s="174"/>
      <c r="AY117" s="176"/>
      <c r="AZ117" s="176"/>
      <c r="BA117" s="176"/>
      <c r="BB117" s="176"/>
      <c r="BC117" s="176"/>
      <c r="BD117" s="176"/>
      <c r="BE117" s="176"/>
      <c r="BF117" s="176"/>
      <c r="BG117" s="176"/>
      <c r="BH117" s="176">
        <v>310</v>
      </c>
      <c r="BI117" s="176"/>
      <c r="BJ117" s="176"/>
      <c r="BK117" s="176"/>
      <c r="BL117" s="176"/>
      <c r="BM117" s="346">
        <f t="shared" si="73"/>
        <v>310</v>
      </c>
      <c r="BN117" s="337"/>
      <c r="BO117" s="170"/>
      <c r="BP117" s="102">
        <f t="shared" si="109"/>
        <v>310</v>
      </c>
      <c r="BQ117" s="186">
        <f>BM117/AI117*100</f>
        <v>100</v>
      </c>
      <c r="BR117" s="186"/>
      <c r="BS117" s="186"/>
      <c r="BT117" s="186">
        <f t="shared" si="95"/>
        <v>310</v>
      </c>
      <c r="BV117" s="204"/>
    </row>
    <row r="118" spans="1:74" s="19" customFormat="1" ht="79.5" customHeight="1" outlineLevel="7" x14ac:dyDescent="0.25">
      <c r="A118" s="18"/>
      <c r="B118" s="228" t="s">
        <v>376</v>
      </c>
      <c r="C118" s="20" t="s">
        <v>363</v>
      </c>
      <c r="D118" s="173"/>
      <c r="E118" s="173"/>
      <c r="F118" s="176"/>
      <c r="G118" s="176">
        <v>259.8</v>
      </c>
      <c r="H118" s="176">
        <v>129.9</v>
      </c>
      <c r="I118" s="176">
        <v>129.9</v>
      </c>
      <c r="J118" s="176">
        <v>389.8</v>
      </c>
      <c r="K118" s="176"/>
      <c r="L118" s="176">
        <v>65</v>
      </c>
      <c r="M118" s="176">
        <v>65</v>
      </c>
      <c r="N118" s="176">
        <v>129.9</v>
      </c>
      <c r="O118" s="176">
        <v>129.9</v>
      </c>
      <c r="P118" s="176">
        <v>86.5</v>
      </c>
      <c r="Q118" s="174"/>
      <c r="R118" s="176">
        <f>F118+G118+H118+I118+J118+K118+L118+M118+N118+O118+P118+Q118</f>
        <v>1385.7000000000003</v>
      </c>
      <c r="S118" s="324">
        <v>1537</v>
      </c>
      <c r="T118" s="324">
        <f t="shared" si="72"/>
        <v>1379.4</v>
      </c>
      <c r="U118" s="176"/>
      <c r="V118" s="176">
        <v>263.2</v>
      </c>
      <c r="W118" s="176">
        <v>130.5</v>
      </c>
      <c r="X118" s="176">
        <v>130.5</v>
      </c>
      <c r="Y118" s="176">
        <v>263.2</v>
      </c>
      <c r="Z118" s="176">
        <v>130.5</v>
      </c>
      <c r="AA118" s="176">
        <v>70</v>
      </c>
      <c r="AB118" s="176"/>
      <c r="AC118" s="176">
        <f>135.9-5.4</f>
        <v>130.5</v>
      </c>
      <c r="AD118" s="176">
        <v>130.5</v>
      </c>
      <c r="AE118" s="176">
        <v>130.5</v>
      </c>
      <c r="AF118" s="176">
        <v>157.6</v>
      </c>
      <c r="AG118" s="346">
        <f t="shared" si="83"/>
        <v>1537</v>
      </c>
      <c r="AH118" s="337"/>
      <c r="AI118" s="170">
        <v>1541.7</v>
      </c>
      <c r="AJ118" s="337">
        <f t="shared" si="114"/>
        <v>1267.2</v>
      </c>
      <c r="AK118" s="319">
        <f t="shared" si="115"/>
        <v>398.19999999999993</v>
      </c>
      <c r="AL118" s="324"/>
      <c r="AM118" s="324">
        <f t="shared" si="116"/>
        <v>268.39999999999998</v>
      </c>
      <c r="AN118" s="324">
        <f t="shared" si="110"/>
        <v>129.79999999999998</v>
      </c>
      <c r="AO118" s="318">
        <f t="shared" si="100"/>
        <v>565.40000000000009</v>
      </c>
      <c r="AP118" s="324">
        <f t="shared" si="111"/>
        <v>129.80000000000001</v>
      </c>
      <c r="AQ118" s="176">
        <f>BE118</f>
        <v>435.6</v>
      </c>
      <c r="AR118" s="176">
        <f t="shared" si="112"/>
        <v>0</v>
      </c>
      <c r="AS118" s="174">
        <f t="shared" si="101"/>
        <v>44</v>
      </c>
      <c r="AT118" s="176"/>
      <c r="AU118" s="176">
        <f t="shared" si="113"/>
        <v>44</v>
      </c>
      <c r="AV118" s="176"/>
      <c r="AW118" s="345">
        <f t="shared" si="102"/>
        <v>259.60000000000002</v>
      </c>
      <c r="AX118" s="176">
        <f>BJ118</f>
        <v>129.80000000000001</v>
      </c>
      <c r="AY118" s="176">
        <f>BK118</f>
        <v>129.80000000000001</v>
      </c>
      <c r="AZ118" s="176"/>
      <c r="BA118" s="176"/>
      <c r="BB118" s="176">
        <v>268.39999999999998</v>
      </c>
      <c r="BC118" s="176">
        <f>135.2-5.4</f>
        <v>129.79999999999998</v>
      </c>
      <c r="BD118" s="176">
        <v>129.80000000000001</v>
      </c>
      <c r="BE118" s="176">
        <v>435.6</v>
      </c>
      <c r="BF118" s="176"/>
      <c r="BG118" s="176">
        <v>44</v>
      </c>
      <c r="BH118" s="176">
        <v>44</v>
      </c>
      <c r="BI118" s="176">
        <v>129.80000000000001</v>
      </c>
      <c r="BJ118" s="176">
        <v>129.80000000000001</v>
      </c>
      <c r="BK118" s="176">
        <v>129.80000000000001</v>
      </c>
      <c r="BL118" s="176">
        <v>100.7</v>
      </c>
      <c r="BM118" s="346">
        <f t="shared" si="73"/>
        <v>1541.6999999999998</v>
      </c>
      <c r="BN118" s="337"/>
      <c r="BO118" s="170"/>
      <c r="BP118" s="102">
        <f t="shared" si="109"/>
        <v>1541.6999999999998</v>
      </c>
      <c r="BQ118" s="186">
        <f>BM118/AI118*100</f>
        <v>99.999999999999986</v>
      </c>
      <c r="BR118" s="186">
        <f t="shared" ref="BR118:BR126" si="117">BM118-AI118</f>
        <v>0</v>
      </c>
      <c r="BS118" s="186">
        <f>BM118/AG118*100</f>
        <v>100.30579050097592</v>
      </c>
      <c r="BT118" s="186">
        <f t="shared" si="95"/>
        <v>4.6999999999998181</v>
      </c>
      <c r="BV118" s="204"/>
    </row>
    <row r="119" spans="1:74" s="19" customFormat="1" ht="81" customHeight="1" outlineLevel="7" x14ac:dyDescent="0.25">
      <c r="A119" s="18"/>
      <c r="B119" s="229" t="s">
        <v>375</v>
      </c>
      <c r="C119" s="20" t="s">
        <v>362</v>
      </c>
      <c r="D119" s="173"/>
      <c r="E119" s="173"/>
      <c r="F119" s="176"/>
      <c r="G119" s="176">
        <v>10.8</v>
      </c>
      <c r="H119" s="176">
        <v>5.4</v>
      </c>
      <c r="I119" s="176">
        <v>5.5</v>
      </c>
      <c r="J119" s="176">
        <v>16.2</v>
      </c>
      <c r="K119" s="176"/>
      <c r="L119" s="176">
        <v>2.7</v>
      </c>
      <c r="M119" s="176">
        <v>2.7</v>
      </c>
      <c r="N119" s="176">
        <v>5.4</v>
      </c>
      <c r="O119" s="176">
        <v>5.4</v>
      </c>
      <c r="P119" s="176">
        <f>5.4-1.8</f>
        <v>3.6000000000000005</v>
      </c>
      <c r="Q119" s="174"/>
      <c r="R119" s="176">
        <v>57.8</v>
      </c>
      <c r="S119" s="324">
        <v>64.099999999999994</v>
      </c>
      <c r="T119" s="324">
        <f t="shared" si="72"/>
        <v>57.399999999999991</v>
      </c>
      <c r="U119" s="176"/>
      <c r="V119" s="176">
        <v>11</v>
      </c>
      <c r="W119" s="176">
        <v>5.4</v>
      </c>
      <c r="X119" s="176">
        <v>5.4</v>
      </c>
      <c r="Y119" s="176">
        <v>11</v>
      </c>
      <c r="Z119" s="176">
        <v>5.4</v>
      </c>
      <c r="AA119" s="176">
        <v>2.9</v>
      </c>
      <c r="AB119" s="176">
        <v>0.1</v>
      </c>
      <c r="AC119" s="176">
        <v>5.4</v>
      </c>
      <c r="AD119" s="176">
        <v>5.4</v>
      </c>
      <c r="AE119" s="176">
        <v>5.4</v>
      </c>
      <c r="AF119" s="176">
        <v>6.7</v>
      </c>
      <c r="AG119" s="346">
        <f t="shared" si="83"/>
        <v>64.099999999999994</v>
      </c>
      <c r="AH119" s="337">
        <v>64</v>
      </c>
      <c r="AI119" s="170">
        <v>64.2</v>
      </c>
      <c r="AJ119" s="337">
        <f t="shared" si="114"/>
        <v>52.8</v>
      </c>
      <c r="AK119" s="319">
        <f t="shared" si="115"/>
        <v>16.600000000000001</v>
      </c>
      <c r="AL119" s="324"/>
      <c r="AM119" s="324">
        <f t="shared" si="116"/>
        <v>11.2</v>
      </c>
      <c r="AN119" s="324">
        <f t="shared" si="110"/>
        <v>5.4</v>
      </c>
      <c r="AO119" s="318">
        <f t="shared" si="100"/>
        <v>23.5</v>
      </c>
      <c r="AP119" s="324">
        <f t="shared" si="111"/>
        <v>5.4</v>
      </c>
      <c r="AQ119" s="176">
        <f t="shared" si="111"/>
        <v>18.100000000000001</v>
      </c>
      <c r="AR119" s="176">
        <f t="shared" si="112"/>
        <v>0</v>
      </c>
      <c r="AS119" s="174">
        <f t="shared" si="101"/>
        <v>1.9</v>
      </c>
      <c r="AT119" s="176"/>
      <c r="AU119" s="176">
        <f t="shared" si="113"/>
        <v>1.9</v>
      </c>
      <c r="AV119" s="176"/>
      <c r="AW119" s="345">
        <f t="shared" si="102"/>
        <v>10.8</v>
      </c>
      <c r="AX119" s="176">
        <f t="shared" ref="AX119:AY124" si="118">BJ119</f>
        <v>5.4</v>
      </c>
      <c r="AY119" s="176">
        <f>BK119</f>
        <v>5.4</v>
      </c>
      <c r="AZ119" s="176"/>
      <c r="BA119" s="176"/>
      <c r="BB119" s="176">
        <v>11.2</v>
      </c>
      <c r="BC119" s="176">
        <v>5.4</v>
      </c>
      <c r="BD119" s="176">
        <v>5.4</v>
      </c>
      <c r="BE119" s="176">
        <v>18.100000000000001</v>
      </c>
      <c r="BF119" s="176"/>
      <c r="BG119" s="176">
        <v>1.8</v>
      </c>
      <c r="BH119" s="176">
        <v>1.9</v>
      </c>
      <c r="BI119" s="176">
        <v>5.4</v>
      </c>
      <c r="BJ119" s="176">
        <v>5.4</v>
      </c>
      <c r="BK119" s="176">
        <v>5.4</v>
      </c>
      <c r="BL119" s="176">
        <v>4.2</v>
      </c>
      <c r="BM119" s="346">
        <f t="shared" si="73"/>
        <v>64.199999999999989</v>
      </c>
      <c r="BN119" s="337"/>
      <c r="BO119" s="170"/>
      <c r="BP119" s="102">
        <f t="shared" si="109"/>
        <v>0.19999999999998863</v>
      </c>
      <c r="BQ119" s="186">
        <f>BM119/AI119*100</f>
        <v>99.999999999999972</v>
      </c>
      <c r="BR119" s="186">
        <f t="shared" si="117"/>
        <v>0</v>
      </c>
      <c r="BS119" s="186">
        <f>BM119/AG119*100</f>
        <v>100.15600624024961</v>
      </c>
      <c r="BT119" s="186">
        <f t="shared" si="95"/>
        <v>9.9999999999994316E-2</v>
      </c>
      <c r="BV119" s="204"/>
    </row>
    <row r="120" spans="1:74" s="19" customFormat="1" ht="44.25" customHeight="1" outlineLevel="7" x14ac:dyDescent="0.25">
      <c r="A120" s="18"/>
      <c r="B120" s="232" t="s">
        <v>385</v>
      </c>
      <c r="C120" s="20" t="s">
        <v>384</v>
      </c>
      <c r="D120" s="173"/>
      <c r="E120" s="173"/>
      <c r="F120" s="176"/>
      <c r="G120" s="176"/>
      <c r="H120" s="176"/>
      <c r="I120" s="176"/>
      <c r="J120" s="176"/>
      <c r="K120" s="176">
        <v>1400</v>
      </c>
      <c r="L120" s="176"/>
      <c r="M120" s="176"/>
      <c r="N120" s="176"/>
      <c r="O120" s="176"/>
      <c r="P120" s="174"/>
      <c r="Q120" s="176">
        <v>1750</v>
      </c>
      <c r="R120" s="176">
        <f t="shared" ref="R120:R128" si="119">F120+G120+H120+I120+J120+K120+L120+M120+N120+O120+P120+Q120</f>
        <v>3150</v>
      </c>
      <c r="S120" s="324">
        <v>3500</v>
      </c>
      <c r="T120" s="324">
        <f t="shared" si="72"/>
        <v>3500</v>
      </c>
      <c r="U120" s="176"/>
      <c r="V120" s="176"/>
      <c r="W120" s="176">
        <v>3500</v>
      </c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346">
        <f t="shared" si="83"/>
        <v>3500</v>
      </c>
      <c r="AH120" s="337"/>
      <c r="AI120" s="170">
        <v>700</v>
      </c>
      <c r="AJ120" s="337">
        <f t="shared" si="114"/>
        <v>700</v>
      </c>
      <c r="AK120" s="319">
        <f t="shared" si="115"/>
        <v>700</v>
      </c>
      <c r="AL120" s="324"/>
      <c r="AM120" s="324">
        <f t="shared" si="116"/>
        <v>0</v>
      </c>
      <c r="AN120" s="324">
        <f t="shared" si="110"/>
        <v>700</v>
      </c>
      <c r="AO120" s="318">
        <f t="shared" si="100"/>
        <v>0</v>
      </c>
      <c r="AP120" s="324">
        <f t="shared" si="111"/>
        <v>0</v>
      </c>
      <c r="AQ120" s="176">
        <f t="shared" si="111"/>
        <v>0</v>
      </c>
      <c r="AR120" s="176">
        <f t="shared" si="112"/>
        <v>0</v>
      </c>
      <c r="AS120" s="174">
        <f t="shared" si="101"/>
        <v>0</v>
      </c>
      <c r="AT120" s="176"/>
      <c r="AU120" s="176">
        <f t="shared" si="113"/>
        <v>0</v>
      </c>
      <c r="AV120" s="176"/>
      <c r="AW120" s="345">
        <f t="shared" si="102"/>
        <v>0</v>
      </c>
      <c r="AX120" s="176">
        <f t="shared" si="118"/>
        <v>0</v>
      </c>
      <c r="AY120" s="176"/>
      <c r="AZ120" s="176"/>
      <c r="BA120" s="176"/>
      <c r="BB120" s="176"/>
      <c r="BC120" s="176">
        <v>700</v>
      </c>
      <c r="BD120" s="176"/>
      <c r="BE120" s="176"/>
      <c r="BF120" s="176"/>
      <c r="BG120" s="176"/>
      <c r="BH120" s="176"/>
      <c r="BI120" s="176"/>
      <c r="BJ120" s="176"/>
      <c r="BK120" s="176"/>
      <c r="BL120" s="176"/>
      <c r="BM120" s="346">
        <f t="shared" si="73"/>
        <v>700</v>
      </c>
      <c r="BN120" s="337"/>
      <c r="BO120" s="170"/>
      <c r="BP120" s="102">
        <f t="shared" si="109"/>
        <v>700</v>
      </c>
      <c r="BQ120" s="186">
        <f>BM120/AI120*100</f>
        <v>100</v>
      </c>
      <c r="BR120" s="186">
        <f t="shared" si="117"/>
        <v>0</v>
      </c>
      <c r="BS120" s="186">
        <f>BM120/AG120*100</f>
        <v>20</v>
      </c>
      <c r="BT120" s="186">
        <f t="shared" si="95"/>
        <v>-2800</v>
      </c>
      <c r="BV120" s="204"/>
    </row>
    <row r="121" spans="1:74" s="19" customFormat="1" ht="75" outlineLevel="7" x14ac:dyDescent="0.25">
      <c r="A121" s="18"/>
      <c r="B121" s="290" t="s">
        <v>415</v>
      </c>
      <c r="C121" s="20" t="s">
        <v>414</v>
      </c>
      <c r="D121" s="173"/>
      <c r="E121" s="173"/>
      <c r="F121" s="176"/>
      <c r="G121" s="176"/>
      <c r="H121" s="176"/>
      <c r="I121" s="176"/>
      <c r="J121" s="176"/>
      <c r="K121" s="176"/>
      <c r="L121" s="176"/>
      <c r="M121" s="176">
        <v>984.9</v>
      </c>
      <c r="N121" s="176"/>
      <c r="O121" s="176"/>
      <c r="P121" s="174"/>
      <c r="Q121" s="174"/>
      <c r="R121" s="176">
        <f t="shared" si="119"/>
        <v>984.9</v>
      </c>
      <c r="S121" s="324"/>
      <c r="T121" s="324">
        <f t="shared" si="72"/>
        <v>0</v>
      </c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346">
        <f t="shared" si="83"/>
        <v>0</v>
      </c>
      <c r="AH121" s="337"/>
      <c r="AI121" s="170"/>
      <c r="AJ121" s="337">
        <f t="shared" si="114"/>
        <v>0</v>
      </c>
      <c r="AK121" s="319">
        <f t="shared" si="115"/>
        <v>0</v>
      </c>
      <c r="AL121" s="324"/>
      <c r="AM121" s="324">
        <f t="shared" si="116"/>
        <v>0</v>
      </c>
      <c r="AN121" s="324">
        <f t="shared" si="110"/>
        <v>0</v>
      </c>
      <c r="AO121" s="318">
        <f t="shared" si="100"/>
        <v>0</v>
      </c>
      <c r="AP121" s="324">
        <f t="shared" si="111"/>
        <v>0</v>
      </c>
      <c r="AQ121" s="176">
        <f t="shared" si="111"/>
        <v>0</v>
      </c>
      <c r="AR121" s="176">
        <f t="shared" si="112"/>
        <v>0</v>
      </c>
      <c r="AS121" s="174">
        <f t="shared" si="101"/>
        <v>0</v>
      </c>
      <c r="AT121" s="176"/>
      <c r="AU121" s="176">
        <f t="shared" si="113"/>
        <v>0</v>
      </c>
      <c r="AV121" s="176"/>
      <c r="AW121" s="345">
        <f t="shared" si="102"/>
        <v>0</v>
      </c>
      <c r="AX121" s="176">
        <f t="shared" si="118"/>
        <v>0</v>
      </c>
      <c r="AY121" s="176"/>
      <c r="AZ121" s="176"/>
      <c r="BA121" s="176"/>
      <c r="BB121" s="176"/>
      <c r="BC121" s="176"/>
      <c r="BD121" s="176"/>
      <c r="BE121" s="176"/>
      <c r="BF121" s="176"/>
      <c r="BG121" s="176"/>
      <c r="BH121" s="176"/>
      <c r="BI121" s="176"/>
      <c r="BJ121" s="176"/>
      <c r="BK121" s="176"/>
      <c r="BL121" s="176"/>
      <c r="BM121" s="346">
        <f t="shared" si="73"/>
        <v>0</v>
      </c>
      <c r="BN121" s="337"/>
      <c r="BO121" s="170"/>
      <c r="BP121" s="102">
        <f t="shared" si="109"/>
        <v>0</v>
      </c>
      <c r="BQ121" s="186"/>
      <c r="BR121" s="186">
        <f t="shared" si="117"/>
        <v>0</v>
      </c>
      <c r="BS121" s="186"/>
      <c r="BT121" s="186">
        <f t="shared" si="95"/>
        <v>0</v>
      </c>
      <c r="BV121" s="204"/>
    </row>
    <row r="122" spans="1:74" s="19" customFormat="1" ht="67.5" customHeight="1" outlineLevel="7" x14ac:dyDescent="0.25">
      <c r="A122" s="18"/>
      <c r="B122" s="9" t="s">
        <v>335</v>
      </c>
      <c r="C122" s="20" t="s">
        <v>274</v>
      </c>
      <c r="D122" s="173"/>
      <c r="E122" s="173"/>
      <c r="F122" s="176"/>
      <c r="G122" s="176"/>
      <c r="H122" s="176"/>
      <c r="I122" s="176"/>
      <c r="J122" s="176"/>
      <c r="K122" s="176"/>
      <c r="L122" s="176">
        <v>854.6</v>
      </c>
      <c r="M122" s="176"/>
      <c r="N122" s="176"/>
      <c r="O122" s="176">
        <v>854.5</v>
      </c>
      <c r="P122" s="174"/>
      <c r="Q122" s="174"/>
      <c r="R122" s="176">
        <f t="shared" si="119"/>
        <v>1709.1</v>
      </c>
      <c r="S122" s="324">
        <v>10320.9</v>
      </c>
      <c r="T122" s="324">
        <f t="shared" si="72"/>
        <v>10320.9</v>
      </c>
      <c r="U122" s="176"/>
      <c r="V122" s="176"/>
      <c r="W122" s="176"/>
      <c r="X122" s="176"/>
      <c r="Y122" s="176"/>
      <c r="Z122" s="176"/>
      <c r="AA122" s="176"/>
      <c r="AB122" s="176">
        <v>7297.5</v>
      </c>
      <c r="AC122" s="176"/>
      <c r="AD122" s="176">
        <v>3023.4</v>
      </c>
      <c r="AE122" s="176"/>
      <c r="AF122" s="176"/>
      <c r="AG122" s="346">
        <f t="shared" si="83"/>
        <v>10320.9</v>
      </c>
      <c r="AH122" s="337"/>
      <c r="AI122" s="170">
        <v>1242.5</v>
      </c>
      <c r="AJ122" s="337">
        <f t="shared" si="114"/>
        <v>1242.5</v>
      </c>
      <c r="AK122" s="319">
        <f t="shared" si="115"/>
        <v>0</v>
      </c>
      <c r="AL122" s="324"/>
      <c r="AM122" s="324">
        <f t="shared" si="116"/>
        <v>0</v>
      </c>
      <c r="AN122" s="324">
        <f t="shared" si="110"/>
        <v>0</v>
      </c>
      <c r="AO122" s="318">
        <f t="shared" si="100"/>
        <v>0</v>
      </c>
      <c r="AP122" s="324">
        <f t="shared" si="111"/>
        <v>0</v>
      </c>
      <c r="AQ122" s="176">
        <f t="shared" si="111"/>
        <v>0</v>
      </c>
      <c r="AR122" s="176">
        <f t="shared" si="112"/>
        <v>0</v>
      </c>
      <c r="AS122" s="174">
        <f t="shared" si="101"/>
        <v>0</v>
      </c>
      <c r="AT122" s="176"/>
      <c r="AU122" s="176">
        <f t="shared" si="113"/>
        <v>0</v>
      </c>
      <c r="AV122" s="176"/>
      <c r="AW122" s="345">
        <f t="shared" si="102"/>
        <v>1242.5</v>
      </c>
      <c r="AX122" s="176">
        <f t="shared" si="118"/>
        <v>0</v>
      </c>
      <c r="AY122" s="176">
        <f>BK122</f>
        <v>1242.5</v>
      </c>
      <c r="AZ122" s="176"/>
      <c r="BA122" s="176"/>
      <c r="BB122" s="176"/>
      <c r="BC122" s="176"/>
      <c r="BD122" s="176"/>
      <c r="BE122" s="176"/>
      <c r="BF122" s="176"/>
      <c r="BG122" s="176"/>
      <c r="BH122" s="176"/>
      <c r="BI122" s="176"/>
      <c r="BJ122" s="176"/>
      <c r="BK122" s="176">
        <v>1242.5</v>
      </c>
      <c r="BL122" s="176"/>
      <c r="BM122" s="346">
        <f t="shared" si="73"/>
        <v>1242.5</v>
      </c>
      <c r="BN122" s="337"/>
      <c r="BO122" s="170"/>
      <c r="BP122" s="102">
        <f t="shared" si="109"/>
        <v>1242.5</v>
      </c>
      <c r="BQ122" s="186">
        <f t="shared" ref="BQ122:BQ129" si="120">BM122/AI122*100</f>
        <v>100</v>
      </c>
      <c r="BR122" s="186">
        <f t="shared" si="117"/>
        <v>0</v>
      </c>
      <c r="BS122" s="186">
        <f>BM122/AG122*100</f>
        <v>12.038678797391702</v>
      </c>
      <c r="BT122" s="186">
        <f t="shared" si="95"/>
        <v>-9078.4</v>
      </c>
      <c r="BV122" s="204"/>
    </row>
    <row r="123" spans="1:74" s="19" customFormat="1" ht="23.25" customHeight="1" outlineLevel="7" x14ac:dyDescent="0.25">
      <c r="A123" s="18"/>
      <c r="B123" s="133" t="s">
        <v>229</v>
      </c>
      <c r="C123" s="20" t="s">
        <v>230</v>
      </c>
      <c r="D123" s="173"/>
      <c r="E123" s="173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>
        <v>18822.599999999999</v>
      </c>
      <c r="P123" s="174"/>
      <c r="Q123" s="174"/>
      <c r="R123" s="176">
        <f t="shared" si="119"/>
        <v>18822.599999999999</v>
      </c>
      <c r="S123" s="324">
        <f>7856+19039.2</f>
        <v>26895.200000000001</v>
      </c>
      <c r="T123" s="324">
        <f t="shared" si="72"/>
        <v>26895.200000000001</v>
      </c>
      <c r="U123" s="176"/>
      <c r="V123" s="176"/>
      <c r="W123" s="176"/>
      <c r="X123" s="176"/>
      <c r="Y123" s="176"/>
      <c r="Z123" s="176"/>
      <c r="AA123" s="176"/>
      <c r="AB123" s="176"/>
      <c r="AC123" s="176">
        <v>14856</v>
      </c>
      <c r="AD123" s="176">
        <v>12039.2</v>
      </c>
      <c r="AE123" s="176"/>
      <c r="AF123" s="176"/>
      <c r="AG123" s="346">
        <f t="shared" si="83"/>
        <v>26895.200000000001</v>
      </c>
      <c r="AH123" s="337"/>
      <c r="AI123" s="170">
        <f>27342.5+9715</f>
        <v>37057.5</v>
      </c>
      <c r="AJ123" s="337">
        <f t="shared" si="114"/>
        <v>15642.5</v>
      </c>
      <c r="AK123" s="319">
        <f t="shared" si="115"/>
        <v>0</v>
      </c>
      <c r="AL123" s="324"/>
      <c r="AM123" s="324">
        <f t="shared" si="116"/>
        <v>0</v>
      </c>
      <c r="AN123" s="324">
        <f t="shared" si="110"/>
        <v>0</v>
      </c>
      <c r="AO123" s="318">
        <f t="shared" si="100"/>
        <v>0</v>
      </c>
      <c r="AP123" s="324">
        <f t="shared" si="111"/>
        <v>0</v>
      </c>
      <c r="AQ123" s="176">
        <f t="shared" si="111"/>
        <v>0</v>
      </c>
      <c r="AR123" s="176">
        <f t="shared" si="112"/>
        <v>0</v>
      </c>
      <c r="AS123" s="174">
        <f t="shared" si="101"/>
        <v>0</v>
      </c>
      <c r="AT123" s="176"/>
      <c r="AU123" s="176">
        <f t="shared" si="113"/>
        <v>0</v>
      </c>
      <c r="AV123" s="176"/>
      <c r="AW123" s="345">
        <f t="shared" si="102"/>
        <v>15642.5</v>
      </c>
      <c r="AX123" s="176">
        <f t="shared" si="118"/>
        <v>3642.5</v>
      </c>
      <c r="AY123" s="176">
        <f t="shared" si="118"/>
        <v>12000</v>
      </c>
      <c r="AZ123" s="176"/>
      <c r="BA123" s="176">
        <v>9715</v>
      </c>
      <c r="BB123" s="176"/>
      <c r="BC123" s="176"/>
      <c r="BD123" s="176"/>
      <c r="BE123" s="176"/>
      <c r="BF123" s="176"/>
      <c r="BG123" s="176"/>
      <c r="BH123" s="176"/>
      <c r="BI123" s="176">
        <v>11700</v>
      </c>
      <c r="BJ123" s="176">
        <v>3642.5</v>
      </c>
      <c r="BK123" s="176">
        <v>12000</v>
      </c>
      <c r="BL123" s="176"/>
      <c r="BM123" s="346">
        <f t="shared" si="73"/>
        <v>37057.5</v>
      </c>
      <c r="BN123" s="337"/>
      <c r="BO123" s="170"/>
      <c r="BP123" s="102">
        <f t="shared" si="109"/>
        <v>37057.5</v>
      </c>
      <c r="BQ123" s="186">
        <f t="shared" si="120"/>
        <v>100</v>
      </c>
      <c r="BR123" s="186">
        <f t="shared" si="117"/>
        <v>0</v>
      </c>
      <c r="BS123" s="186">
        <f>BM123/AG123*100</f>
        <v>137.78480918528214</v>
      </c>
      <c r="BT123" s="186">
        <f t="shared" si="95"/>
        <v>10162.299999999999</v>
      </c>
      <c r="BV123" s="204"/>
    </row>
    <row r="124" spans="1:74" s="19" customFormat="1" ht="22.5" customHeight="1" outlineLevel="7" x14ac:dyDescent="0.25">
      <c r="A124" s="18"/>
      <c r="B124" s="133" t="s">
        <v>205</v>
      </c>
      <c r="C124" s="20" t="s">
        <v>216</v>
      </c>
      <c r="D124" s="173"/>
      <c r="E124" s="173"/>
      <c r="F124" s="176"/>
      <c r="G124" s="176"/>
      <c r="H124" s="176"/>
      <c r="I124" s="176"/>
      <c r="J124" s="176">
        <v>257.5</v>
      </c>
      <c r="K124" s="176"/>
      <c r="L124" s="176"/>
      <c r="M124" s="176">
        <v>462.3</v>
      </c>
      <c r="N124" s="176">
        <v>15</v>
      </c>
      <c r="O124" s="176">
        <v>346.3</v>
      </c>
      <c r="P124" s="176">
        <v>113.7</v>
      </c>
      <c r="Q124" s="174"/>
      <c r="R124" s="176">
        <f t="shared" si="119"/>
        <v>1194.8</v>
      </c>
      <c r="S124" s="324">
        <v>1910.8</v>
      </c>
      <c r="T124" s="324">
        <f t="shared" si="72"/>
        <v>1910.9</v>
      </c>
      <c r="U124" s="176"/>
      <c r="V124" s="176"/>
      <c r="W124" s="176"/>
      <c r="X124" s="176"/>
      <c r="Y124" s="176"/>
      <c r="Z124" s="176">
        <v>516.4</v>
      </c>
      <c r="AA124" s="176"/>
      <c r="AB124" s="176">
        <v>139.1</v>
      </c>
      <c r="AC124" s="176"/>
      <c r="AD124" s="176">
        <v>475.5</v>
      </c>
      <c r="AE124" s="176">
        <v>779.9</v>
      </c>
      <c r="AF124" s="176">
        <v>-0.1</v>
      </c>
      <c r="AG124" s="346">
        <f t="shared" si="83"/>
        <v>1910.8</v>
      </c>
      <c r="AH124" s="337"/>
      <c r="AI124" s="170">
        <v>1826.4</v>
      </c>
      <c r="AJ124" s="337">
        <f t="shared" si="114"/>
        <v>1396.4</v>
      </c>
      <c r="AK124" s="319">
        <f t="shared" si="115"/>
        <v>326.2</v>
      </c>
      <c r="AL124" s="324"/>
      <c r="AM124" s="324">
        <f t="shared" si="116"/>
        <v>0</v>
      </c>
      <c r="AN124" s="324">
        <f t="shared" si="110"/>
        <v>326.2</v>
      </c>
      <c r="AO124" s="318">
        <f t="shared" si="100"/>
        <v>69.900000000000006</v>
      </c>
      <c r="AP124" s="324">
        <f t="shared" si="111"/>
        <v>0</v>
      </c>
      <c r="AQ124" s="176">
        <f t="shared" si="111"/>
        <v>69.900000000000006</v>
      </c>
      <c r="AR124" s="176">
        <f t="shared" si="112"/>
        <v>0</v>
      </c>
      <c r="AS124" s="174">
        <f t="shared" si="101"/>
        <v>547.29999999999995</v>
      </c>
      <c r="AT124" s="176"/>
      <c r="AU124" s="176">
        <f t="shared" si="113"/>
        <v>547.29999999999995</v>
      </c>
      <c r="AV124" s="176"/>
      <c r="AW124" s="345">
        <f t="shared" si="102"/>
        <v>453</v>
      </c>
      <c r="AX124" s="176">
        <f t="shared" si="118"/>
        <v>263</v>
      </c>
      <c r="AY124" s="176">
        <f t="shared" si="118"/>
        <v>190</v>
      </c>
      <c r="AZ124" s="176"/>
      <c r="BA124" s="176"/>
      <c r="BB124" s="176"/>
      <c r="BC124" s="176">
        <v>326.2</v>
      </c>
      <c r="BD124" s="176"/>
      <c r="BE124" s="176">
        <v>69.900000000000006</v>
      </c>
      <c r="BF124" s="176"/>
      <c r="BG124" s="176">
        <v>240</v>
      </c>
      <c r="BH124" s="176">
        <v>547.29999999999995</v>
      </c>
      <c r="BI124" s="176">
        <v>190</v>
      </c>
      <c r="BJ124" s="176">
        <v>263</v>
      </c>
      <c r="BK124" s="176">
        <v>190</v>
      </c>
      <c r="BL124" s="176"/>
      <c r="BM124" s="346">
        <f t="shared" si="73"/>
        <v>1826.4</v>
      </c>
      <c r="BN124" s="337"/>
      <c r="BO124" s="170"/>
      <c r="BP124" s="102">
        <f t="shared" si="109"/>
        <v>1826.4</v>
      </c>
      <c r="BQ124" s="186">
        <f t="shared" si="120"/>
        <v>100</v>
      </c>
      <c r="BR124" s="186">
        <f t="shared" si="117"/>
        <v>0</v>
      </c>
      <c r="BS124" s="186">
        <f>BM124/AG124*100</f>
        <v>95.583001884027638</v>
      </c>
      <c r="BT124" s="186">
        <f t="shared" si="95"/>
        <v>-84.399999999999864</v>
      </c>
      <c r="BV124" s="204"/>
    </row>
    <row r="125" spans="1:74" s="19" customFormat="1" ht="66.75" hidden="1" customHeight="1" outlineLevel="7" x14ac:dyDescent="0.25">
      <c r="A125" s="18"/>
      <c r="B125" s="433" t="s">
        <v>572</v>
      </c>
      <c r="C125" s="307"/>
      <c r="D125" s="169">
        <f>477.5+122.5</f>
        <v>600</v>
      </c>
      <c r="E125" s="169">
        <v>991.4</v>
      </c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76">
        <f t="shared" si="119"/>
        <v>0</v>
      </c>
      <c r="S125" s="324"/>
      <c r="T125" s="324">
        <f t="shared" si="72"/>
        <v>0</v>
      </c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346">
        <f t="shared" si="83"/>
        <v>0</v>
      </c>
      <c r="AH125" s="337"/>
      <c r="AI125" s="170"/>
      <c r="AJ125" s="337">
        <f t="shared" si="114"/>
        <v>43.8</v>
      </c>
      <c r="AK125" s="319">
        <f t="shared" si="115"/>
        <v>43.8</v>
      </c>
      <c r="AL125" s="324"/>
      <c r="AM125" s="324">
        <f t="shared" si="116"/>
        <v>43.8</v>
      </c>
      <c r="AN125" s="324"/>
      <c r="AO125" s="318">
        <f t="shared" si="100"/>
        <v>0</v>
      </c>
      <c r="AP125" s="324">
        <f t="shared" si="111"/>
        <v>0</v>
      </c>
      <c r="AQ125" s="324"/>
      <c r="AR125" s="176">
        <f t="shared" si="112"/>
        <v>0</v>
      </c>
      <c r="AS125" s="174">
        <f t="shared" si="101"/>
        <v>0</v>
      </c>
      <c r="AT125" s="176"/>
      <c r="AU125" s="176">
        <f t="shared" si="113"/>
        <v>0</v>
      </c>
      <c r="AV125" s="176"/>
      <c r="AW125" s="345">
        <f t="shared" si="102"/>
        <v>0</v>
      </c>
      <c r="AX125" s="174"/>
      <c r="AY125" s="176"/>
      <c r="AZ125" s="176"/>
      <c r="BA125" s="176">
        <v>-43.8</v>
      </c>
      <c r="BB125" s="176">
        <v>43.8</v>
      </c>
      <c r="BC125" s="176"/>
      <c r="BD125" s="176"/>
      <c r="BE125" s="176"/>
      <c r="BF125" s="176"/>
      <c r="BG125" s="176"/>
      <c r="BH125" s="176"/>
      <c r="BI125" s="176"/>
      <c r="BJ125" s="176"/>
      <c r="BK125" s="176"/>
      <c r="BL125" s="176"/>
      <c r="BM125" s="346">
        <f t="shared" si="73"/>
        <v>0</v>
      </c>
      <c r="BN125" s="337"/>
      <c r="BO125" s="170"/>
      <c r="BP125" s="102">
        <f t="shared" si="109"/>
        <v>0</v>
      </c>
      <c r="BQ125" s="186" t="e">
        <f t="shared" si="120"/>
        <v>#DIV/0!</v>
      </c>
      <c r="BR125" s="186">
        <f t="shared" si="117"/>
        <v>0</v>
      </c>
      <c r="BS125" s="186" t="e">
        <f>BM125/AG125*100</f>
        <v>#DIV/0!</v>
      </c>
      <c r="BT125" s="186">
        <f t="shared" si="95"/>
        <v>0</v>
      </c>
      <c r="BV125" s="204"/>
    </row>
    <row r="126" spans="1:74" s="19" customFormat="1" ht="78.75" customHeight="1" outlineLevel="7" x14ac:dyDescent="0.25">
      <c r="A126" s="18"/>
      <c r="B126" s="332" t="s">
        <v>646</v>
      </c>
      <c r="C126" s="438"/>
      <c r="D126" s="333"/>
      <c r="E126" s="333"/>
      <c r="F126" s="236"/>
      <c r="G126" s="236"/>
      <c r="H126" s="236"/>
      <c r="I126" s="236"/>
      <c r="J126" s="236"/>
      <c r="K126" s="236"/>
      <c r="L126" s="236"/>
      <c r="M126" s="236"/>
      <c r="N126" s="236"/>
      <c r="O126" s="236"/>
      <c r="P126" s="236"/>
      <c r="Q126" s="236"/>
      <c r="R126" s="434"/>
      <c r="S126" s="490"/>
      <c r="T126" s="320">
        <f t="shared" si="72"/>
        <v>0</v>
      </c>
      <c r="U126" s="434"/>
      <c r="V126" s="434"/>
      <c r="W126" s="434"/>
      <c r="X126" s="434"/>
      <c r="Y126" s="434"/>
      <c r="Z126" s="434"/>
      <c r="AA126" s="434"/>
      <c r="AB126" s="434"/>
      <c r="AC126" s="434"/>
      <c r="AD126" s="434"/>
      <c r="AE126" s="434"/>
      <c r="AF126" s="434"/>
      <c r="AG126" s="346"/>
      <c r="AH126" s="346"/>
      <c r="AI126" s="333">
        <v>131.19999999999999</v>
      </c>
      <c r="AJ126" s="346"/>
      <c r="AK126" s="439"/>
      <c r="AL126" s="490"/>
      <c r="AM126" s="490"/>
      <c r="AN126" s="490"/>
      <c r="AO126" s="320"/>
      <c r="AP126" s="490"/>
      <c r="AQ126" s="490"/>
      <c r="AR126" s="434"/>
      <c r="AS126" s="236"/>
      <c r="AT126" s="434"/>
      <c r="AU126" s="434"/>
      <c r="AV126" s="434"/>
      <c r="AW126" s="440"/>
      <c r="AX126" s="236">
        <f>BJ126</f>
        <v>131.19999999999999</v>
      </c>
      <c r="AY126" s="434"/>
      <c r="AZ126" s="434"/>
      <c r="BA126" s="434"/>
      <c r="BB126" s="434"/>
      <c r="BC126" s="434"/>
      <c r="BD126" s="434"/>
      <c r="BE126" s="434"/>
      <c r="BF126" s="434"/>
      <c r="BG126" s="434"/>
      <c r="BH126" s="434"/>
      <c r="BI126" s="434"/>
      <c r="BJ126" s="236">
        <v>131.19999999999999</v>
      </c>
      <c r="BK126" s="434"/>
      <c r="BL126" s="434"/>
      <c r="BM126" s="346">
        <v>131.19999999999999</v>
      </c>
      <c r="BN126" s="346"/>
      <c r="BO126" s="435"/>
      <c r="BP126" s="266">
        <f t="shared" si="109"/>
        <v>131.19999999999999</v>
      </c>
      <c r="BQ126" s="266">
        <f t="shared" si="120"/>
        <v>100</v>
      </c>
      <c r="BR126" s="266">
        <f t="shared" si="117"/>
        <v>0</v>
      </c>
      <c r="BS126" s="266"/>
      <c r="BT126" s="266">
        <f t="shared" si="95"/>
        <v>131.19999999999999</v>
      </c>
    </row>
    <row r="127" spans="1:74" s="19" customFormat="1" ht="54" customHeight="1" outlineLevel="7" x14ac:dyDescent="0.25">
      <c r="A127" s="18"/>
      <c r="B127" s="334" t="s">
        <v>196</v>
      </c>
      <c r="C127" s="438"/>
      <c r="D127" s="333">
        <v>1184.5</v>
      </c>
      <c r="E127" s="333">
        <v>2093.5</v>
      </c>
      <c r="F127" s="236"/>
      <c r="G127" s="236"/>
      <c r="H127" s="236">
        <v>116.9</v>
      </c>
      <c r="I127" s="236"/>
      <c r="J127" s="236"/>
      <c r="K127" s="236"/>
      <c r="L127" s="236"/>
      <c r="M127" s="236"/>
      <c r="N127" s="236"/>
      <c r="O127" s="236"/>
      <c r="P127" s="236"/>
      <c r="Q127" s="236"/>
      <c r="R127" s="236">
        <f t="shared" si="119"/>
        <v>116.9</v>
      </c>
      <c r="S127" s="320">
        <v>989.8</v>
      </c>
      <c r="T127" s="320">
        <f t="shared" si="72"/>
        <v>989.8</v>
      </c>
      <c r="U127" s="236"/>
      <c r="V127" s="236">
        <v>989.8</v>
      </c>
      <c r="W127" s="236"/>
      <c r="X127" s="236"/>
      <c r="Y127" s="236"/>
      <c r="Z127" s="236"/>
      <c r="AA127" s="236"/>
      <c r="AB127" s="236"/>
      <c r="AC127" s="236"/>
      <c r="AD127" s="236"/>
      <c r="AE127" s="236"/>
      <c r="AF127" s="236"/>
      <c r="AG127" s="346">
        <f t="shared" si="83"/>
        <v>989.8</v>
      </c>
      <c r="AH127" s="346"/>
      <c r="AI127" s="333">
        <v>736.4</v>
      </c>
      <c r="AJ127" s="346">
        <f t="shared" si="114"/>
        <v>736.4</v>
      </c>
      <c r="AK127" s="439">
        <f t="shared" si="115"/>
        <v>736.4</v>
      </c>
      <c r="AL127" s="320"/>
      <c r="AM127" s="320">
        <f t="shared" si="116"/>
        <v>736.4</v>
      </c>
      <c r="AN127" s="320"/>
      <c r="AO127" s="320">
        <f t="shared" si="100"/>
        <v>0</v>
      </c>
      <c r="AP127" s="320">
        <f t="shared" si="111"/>
        <v>0</v>
      </c>
      <c r="AQ127" s="320"/>
      <c r="AR127" s="236">
        <f t="shared" si="112"/>
        <v>0</v>
      </c>
      <c r="AS127" s="236">
        <f t="shared" si="101"/>
        <v>0</v>
      </c>
      <c r="AT127" s="236"/>
      <c r="AU127" s="236"/>
      <c r="AV127" s="236"/>
      <c r="AW127" s="440">
        <f t="shared" si="102"/>
        <v>0</v>
      </c>
      <c r="AX127" s="236"/>
      <c r="AY127" s="236"/>
      <c r="AZ127" s="236"/>
      <c r="BA127" s="236"/>
      <c r="BB127" s="236">
        <v>736.4</v>
      </c>
      <c r="BC127" s="236"/>
      <c r="BD127" s="236"/>
      <c r="BE127" s="236"/>
      <c r="BF127" s="236"/>
      <c r="BG127" s="236"/>
      <c r="BH127" s="236"/>
      <c r="BI127" s="236"/>
      <c r="BJ127" s="236"/>
      <c r="BK127" s="236"/>
      <c r="BL127" s="236"/>
      <c r="BM127" s="346">
        <f t="shared" si="73"/>
        <v>736.4</v>
      </c>
      <c r="BN127" s="346"/>
      <c r="BO127" s="435"/>
      <c r="BP127" s="266">
        <f t="shared" si="109"/>
        <v>736.4</v>
      </c>
      <c r="BQ127" s="266">
        <f t="shared" si="120"/>
        <v>100</v>
      </c>
      <c r="BR127" s="266">
        <f>BL127-AZ127</f>
        <v>0</v>
      </c>
      <c r="BS127" s="266">
        <f>BM127/AG127*100</f>
        <v>74.398868458274407</v>
      </c>
      <c r="BT127" s="266">
        <f t="shared" si="95"/>
        <v>-253.39999999999998</v>
      </c>
    </row>
    <row r="128" spans="1:74" s="547" customFormat="1" ht="71.25" customHeight="1" outlineLevel="7" x14ac:dyDescent="0.25">
      <c r="A128" s="8"/>
      <c r="B128" s="332" t="s">
        <v>197</v>
      </c>
      <c r="C128" s="438"/>
      <c r="D128" s="333">
        <v>-2187.4</v>
      </c>
      <c r="E128" s="333">
        <v>-10205.299999999999</v>
      </c>
      <c r="F128" s="236">
        <v>-1575</v>
      </c>
      <c r="G128" s="236">
        <v>1034.9000000000001</v>
      </c>
      <c r="H128" s="236">
        <v>-24</v>
      </c>
      <c r="I128" s="236">
        <v>-11.8</v>
      </c>
      <c r="J128" s="236">
        <v>-1001.6</v>
      </c>
      <c r="K128" s="236"/>
      <c r="L128" s="236"/>
      <c r="M128" s="236"/>
      <c r="N128" s="236"/>
      <c r="O128" s="236"/>
      <c r="P128" s="236"/>
      <c r="Q128" s="236"/>
      <c r="R128" s="236">
        <f t="shared" si="119"/>
        <v>-1577.5</v>
      </c>
      <c r="S128" s="320">
        <v>-2707.5</v>
      </c>
      <c r="T128" s="320">
        <f t="shared" si="72"/>
        <v>-2707.3999999999996</v>
      </c>
      <c r="U128" s="236">
        <v>-1891.6</v>
      </c>
      <c r="V128" s="236">
        <v>33.4</v>
      </c>
      <c r="W128" s="236">
        <v>-849.2</v>
      </c>
      <c r="X128" s="236"/>
      <c r="Y128" s="236"/>
      <c r="Z128" s="236"/>
      <c r="AA128" s="236"/>
      <c r="AB128" s="236"/>
      <c r="AC128" s="236"/>
      <c r="AD128" s="236"/>
      <c r="AE128" s="236"/>
      <c r="AF128" s="236"/>
      <c r="AG128" s="346">
        <v>-2707.5</v>
      </c>
      <c r="AH128" s="346"/>
      <c r="AI128" s="333">
        <v>-728.7</v>
      </c>
      <c r="AJ128" s="346">
        <f t="shared" si="114"/>
        <v>4924.8</v>
      </c>
      <c r="AK128" s="439">
        <f t="shared" si="115"/>
        <v>5056</v>
      </c>
      <c r="AL128" s="320"/>
      <c r="AM128" s="320">
        <f t="shared" si="116"/>
        <v>5056</v>
      </c>
      <c r="AN128" s="320"/>
      <c r="AO128" s="320">
        <f t="shared" si="100"/>
        <v>0</v>
      </c>
      <c r="AP128" s="320">
        <f t="shared" si="111"/>
        <v>0</v>
      </c>
      <c r="AQ128" s="320"/>
      <c r="AR128" s="236">
        <f t="shared" si="112"/>
        <v>0</v>
      </c>
      <c r="AS128" s="236">
        <f t="shared" si="101"/>
        <v>0</v>
      </c>
      <c r="AT128" s="236"/>
      <c r="AU128" s="236"/>
      <c r="AV128" s="236"/>
      <c r="AW128" s="440">
        <f t="shared" si="102"/>
        <v>-131.19999999999999</v>
      </c>
      <c r="AX128" s="236">
        <f>BJ128</f>
        <v>-131.19999999999999</v>
      </c>
      <c r="AY128" s="236"/>
      <c r="AZ128" s="236"/>
      <c r="BA128" s="236">
        <v>-5653.5</v>
      </c>
      <c r="BB128" s="236">
        <v>5056</v>
      </c>
      <c r="BC128" s="236"/>
      <c r="BD128" s="236"/>
      <c r="BE128" s="236"/>
      <c r="BF128" s="236"/>
      <c r="BG128" s="236"/>
      <c r="BH128" s="236"/>
      <c r="BI128" s="236"/>
      <c r="BJ128" s="236">
        <v>-131.19999999999999</v>
      </c>
      <c r="BK128" s="236"/>
      <c r="BL128" s="236"/>
      <c r="BM128" s="346">
        <f t="shared" si="73"/>
        <v>-728.7</v>
      </c>
      <c r="BN128" s="346"/>
      <c r="BO128" s="435"/>
      <c r="BP128" s="266">
        <f t="shared" si="109"/>
        <v>-728.7</v>
      </c>
      <c r="BQ128" s="266">
        <f t="shared" si="120"/>
        <v>100</v>
      </c>
      <c r="BR128" s="266">
        <f>BL128-AZ128</f>
        <v>0</v>
      </c>
      <c r="BS128" s="266">
        <f>BM128/AG128*100</f>
        <v>26.914127423822716</v>
      </c>
      <c r="BT128" s="266">
        <f t="shared" si="95"/>
        <v>1978.8</v>
      </c>
      <c r="BU128" s="554"/>
    </row>
    <row r="129" spans="1:73" s="547" customFormat="1" ht="36.75" customHeight="1" x14ac:dyDescent="0.25">
      <c r="A129" s="13"/>
      <c r="B129" s="353" t="s">
        <v>292</v>
      </c>
      <c r="C129" s="354"/>
      <c r="D129" s="106">
        <f>D31+D30-0.1</f>
        <v>766017.29999999993</v>
      </c>
      <c r="E129" s="106">
        <f>E31+E30-0.1</f>
        <v>958695.4</v>
      </c>
      <c r="F129" s="106">
        <f t="shared" ref="F129:BR129" si="121">F31+F30</f>
        <v>44853.5</v>
      </c>
      <c r="G129" s="106">
        <f t="shared" si="121"/>
        <v>59135.199999999997</v>
      </c>
      <c r="H129" s="106">
        <f t="shared" si="121"/>
        <v>313188.50000000006</v>
      </c>
      <c r="I129" s="106">
        <f t="shared" si="121"/>
        <v>99156.599999999991</v>
      </c>
      <c r="J129" s="106">
        <f t="shared" si="121"/>
        <v>78194.200000000012</v>
      </c>
      <c r="K129" s="106">
        <f t="shared" si="121"/>
        <v>81725.2</v>
      </c>
      <c r="L129" s="106">
        <f t="shared" si="121"/>
        <v>88905.5</v>
      </c>
      <c r="M129" s="106">
        <f t="shared" si="121"/>
        <v>165586.89999999997</v>
      </c>
      <c r="N129" s="106">
        <f t="shared" si="121"/>
        <v>122365.59999999998</v>
      </c>
      <c r="O129" s="106">
        <f t="shared" si="121"/>
        <v>111330.40000000001</v>
      </c>
      <c r="P129" s="106">
        <f t="shared" si="121"/>
        <v>128697.89999999997</v>
      </c>
      <c r="Q129" s="106">
        <f t="shared" si="121"/>
        <v>184889.30000000002</v>
      </c>
      <c r="R129" s="106">
        <f t="shared" si="121"/>
        <v>1478028.9</v>
      </c>
      <c r="S129" s="106">
        <f t="shared" si="121"/>
        <v>1305500.5</v>
      </c>
      <c r="T129" s="106">
        <f>T31+T30-0.1</f>
        <v>1118399.57</v>
      </c>
      <c r="U129" s="106">
        <f t="shared" si="121"/>
        <v>57772.200000000004</v>
      </c>
      <c r="V129" s="106">
        <f t="shared" si="121"/>
        <v>66039.299999999988</v>
      </c>
      <c r="W129" s="106">
        <f t="shared" si="121"/>
        <v>93243.3</v>
      </c>
      <c r="X129" s="106">
        <f t="shared" si="121"/>
        <v>189024.89999999997</v>
      </c>
      <c r="Y129" s="106">
        <f t="shared" si="121"/>
        <v>47266.100000000006</v>
      </c>
      <c r="Z129" s="106">
        <f t="shared" si="121"/>
        <v>106148.00000000001</v>
      </c>
      <c r="AA129" s="106">
        <f t="shared" si="121"/>
        <v>95535.4</v>
      </c>
      <c r="AB129" s="106">
        <f t="shared" si="121"/>
        <v>99366.200000000012</v>
      </c>
      <c r="AC129" s="106">
        <f t="shared" si="121"/>
        <v>114703.1</v>
      </c>
      <c r="AD129" s="106">
        <f t="shared" si="121"/>
        <v>143501.66999999998</v>
      </c>
      <c r="AE129" s="106">
        <f t="shared" si="121"/>
        <v>105799.6</v>
      </c>
      <c r="AF129" s="106">
        <f t="shared" si="121"/>
        <v>173866</v>
      </c>
      <c r="AG129" s="106">
        <f t="shared" si="121"/>
        <v>1292174.2999999998</v>
      </c>
      <c r="AH129" s="106">
        <f t="shared" si="121"/>
        <v>1120340.6000000001</v>
      </c>
      <c r="AI129" s="106">
        <f>AI31+AI30</f>
        <v>1268357.4000000001</v>
      </c>
      <c r="AJ129" s="106">
        <f t="shared" si="121"/>
        <v>1030726</v>
      </c>
      <c r="AK129" s="106">
        <f t="shared" si="121"/>
        <v>187937.7</v>
      </c>
      <c r="AL129" s="106">
        <f t="shared" si="121"/>
        <v>20368.900000000001</v>
      </c>
      <c r="AM129" s="106">
        <f t="shared" si="121"/>
        <v>81733.5</v>
      </c>
      <c r="AN129" s="106">
        <f t="shared" si="121"/>
        <v>85972</v>
      </c>
      <c r="AO129" s="106">
        <f t="shared" si="121"/>
        <v>307812.19999999995</v>
      </c>
      <c r="AP129" s="106">
        <f t="shared" si="121"/>
        <v>143476.79999999999</v>
      </c>
      <c r="AQ129" s="106">
        <f t="shared" si="121"/>
        <v>64798.600000000006</v>
      </c>
      <c r="AR129" s="106">
        <f t="shared" si="121"/>
        <v>104323.6</v>
      </c>
      <c r="AS129" s="106">
        <f t="shared" si="121"/>
        <v>190375.2</v>
      </c>
      <c r="AT129" s="106">
        <f t="shared" si="121"/>
        <v>67042.5</v>
      </c>
      <c r="AU129" s="106">
        <f t="shared" si="121"/>
        <v>96610.099999999991</v>
      </c>
      <c r="AV129" s="106">
        <f t="shared" si="121"/>
        <v>26740.899999999998</v>
      </c>
      <c r="AW129" s="106">
        <f t="shared" si="121"/>
        <v>344600.9</v>
      </c>
      <c r="AX129" s="106">
        <f t="shared" si="121"/>
        <v>138146.5</v>
      </c>
      <c r="AY129" s="106">
        <f t="shared" si="121"/>
        <v>84044.3</v>
      </c>
      <c r="AZ129" s="106">
        <f t="shared" si="121"/>
        <v>123225.50000000001</v>
      </c>
      <c r="BA129" s="106">
        <f t="shared" si="121"/>
        <v>69784.5</v>
      </c>
      <c r="BB129" s="106">
        <f t="shared" si="121"/>
        <v>82903</v>
      </c>
      <c r="BC129" s="106">
        <f t="shared" si="121"/>
        <v>83140.800000000003</v>
      </c>
      <c r="BD129" s="106">
        <f t="shared" si="121"/>
        <v>155153.9</v>
      </c>
      <c r="BE129" s="106">
        <f t="shared" si="121"/>
        <v>58535.899999999994</v>
      </c>
      <c r="BF129" s="106">
        <f t="shared" si="121"/>
        <v>108891.09999999999</v>
      </c>
      <c r="BG129" s="106">
        <f t="shared" si="121"/>
        <v>88892.099999999991</v>
      </c>
      <c r="BH129" s="106">
        <f t="shared" si="121"/>
        <v>98051.199999999997</v>
      </c>
      <c r="BI129" s="106">
        <f t="shared" si="121"/>
        <v>106684.2</v>
      </c>
      <c r="BJ129" s="106">
        <f t="shared" si="121"/>
        <v>145224.6</v>
      </c>
      <c r="BK129" s="106">
        <f t="shared" si="121"/>
        <v>74555.999999999985</v>
      </c>
      <c r="BL129" s="106">
        <f t="shared" si="121"/>
        <v>159048.29999999996</v>
      </c>
      <c r="BM129" s="106">
        <f>BM31+BM30</f>
        <v>1230865.5000000002</v>
      </c>
      <c r="BN129" s="106">
        <f>BN31+BN30</f>
        <v>9772.1999999999898</v>
      </c>
      <c r="BO129" s="169">
        <f>BM129/AH129*100</f>
        <v>109.86529453632228</v>
      </c>
      <c r="BP129" s="106">
        <f>BP31+BP30</f>
        <v>110524.89999999995</v>
      </c>
      <c r="BQ129" s="187">
        <f t="shared" si="120"/>
        <v>97.044058717203853</v>
      </c>
      <c r="BR129" s="106">
        <f t="shared" si="121"/>
        <v>-37491.89999999998</v>
      </c>
      <c r="BS129" s="187">
        <f>BM129/AG129*100</f>
        <v>95.255376925543274</v>
      </c>
      <c r="BT129" s="187">
        <f t="shared" si="95"/>
        <v>-61308.799999999581</v>
      </c>
      <c r="BU129" s="554"/>
    </row>
    <row r="130" spans="1:73" ht="12.75" customHeight="1" x14ac:dyDescent="0.2">
      <c r="D130">
        <v>766017.3</v>
      </c>
      <c r="R130" s="93">
        <v>1481025.5</v>
      </c>
      <c r="S130" s="93">
        <v>1305682.8</v>
      </c>
      <c r="AG130" s="93">
        <v>1292174.3</v>
      </c>
      <c r="AH130" s="93">
        <v>1120340.6000000001</v>
      </c>
    </row>
    <row r="131" spans="1:73" ht="12.75" customHeight="1" x14ac:dyDescent="0.2">
      <c r="BP131" s="100"/>
      <c r="BR131" s="100"/>
      <c r="BT131" s="100"/>
    </row>
    <row r="132" spans="1:73" ht="12.75" customHeight="1" x14ac:dyDescent="0.2">
      <c r="AH132" s="104"/>
      <c r="BN132" s="104"/>
      <c r="BP132" s="100"/>
      <c r="BQ132" s="100"/>
      <c r="BR132" s="100"/>
      <c r="BT132" s="436"/>
    </row>
    <row r="133" spans="1:73" ht="12.75" customHeight="1" x14ac:dyDescent="0.2">
      <c r="BQ133" s="100"/>
    </row>
    <row r="135" spans="1:73" ht="12.75" customHeight="1" x14ac:dyDescent="0.2">
      <c r="BO135" s="100"/>
    </row>
  </sheetData>
  <mergeCells count="1">
    <mergeCell ref="B1:BM1"/>
  </mergeCells>
  <pageMargins left="0.74803149606299213" right="0.11811023622047245" top="0.31496062992125984" bottom="0.11811023622047245" header="0.51181102362204722" footer="0.51181102362204722"/>
  <pageSetup paperSize="9" scale="64" fitToHeight="8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CC15"/>
  <sheetViews>
    <sheetView topLeftCell="B1" zoomScale="69" zoomScaleNormal="69" workbookViewId="0">
      <pane xSplit="5" ySplit="4" topLeftCell="G5" activePane="bottomRight" state="frozen"/>
      <selection activeCell="B1" sqref="B1"/>
      <selection pane="topRight" activeCell="G1" sqref="G1"/>
      <selection pane="bottomLeft" activeCell="B5" sqref="B5"/>
      <selection pane="bottomRight" activeCell="BB47" sqref="BB47"/>
    </sheetView>
  </sheetViews>
  <sheetFormatPr defaultRowHeight="12.75" customHeight="1" outlineLevelRow="1" x14ac:dyDescent="0.2"/>
  <cols>
    <col min="1" max="1" width="17.85546875" style="6" hidden="1" customWidth="1"/>
    <col min="2" max="2" width="35" customWidth="1"/>
    <col min="3" max="3" width="4.5703125" hidden="1" customWidth="1"/>
    <col min="4" max="4" width="12.28515625" hidden="1" customWidth="1"/>
    <col min="5" max="5" width="12.7109375" hidden="1" customWidth="1"/>
    <col min="6" max="6" width="13.7109375" hidden="1" customWidth="1"/>
    <col min="7" max="7" width="11.28515625" hidden="1" customWidth="1"/>
    <col min="8" max="8" width="11" hidden="1" customWidth="1"/>
    <col min="9" max="9" width="10.140625" hidden="1" customWidth="1"/>
    <col min="10" max="10" width="11.28515625" hidden="1" customWidth="1"/>
    <col min="11" max="11" width="9.28515625" hidden="1" customWidth="1"/>
    <col min="12" max="12" width="10.85546875" hidden="1" customWidth="1"/>
    <col min="13" max="13" width="21.7109375" style="93" hidden="1" customWidth="1"/>
    <col min="14" max="14" width="14" style="93" hidden="1" customWidth="1"/>
    <col min="15" max="29" width="12.140625" style="93" hidden="1" customWidth="1"/>
    <col min="30" max="30" width="14.7109375" style="93" hidden="1" customWidth="1"/>
    <col min="31" max="34" width="13.5703125" style="93" hidden="1" customWidth="1"/>
    <col min="35" max="35" width="11" style="93" hidden="1" customWidth="1"/>
    <col min="36" max="51" width="12.140625" style="93" hidden="1" customWidth="1"/>
    <col min="52" max="52" width="13.140625" style="93" customWidth="1"/>
    <col min="53" max="53" width="12.5703125" style="93" customWidth="1"/>
    <col min="54" max="54" width="12" style="93" customWidth="1"/>
    <col min="55" max="55" width="12.140625" style="93" customWidth="1"/>
    <col min="56" max="56" width="14.140625" style="93" customWidth="1"/>
    <col min="57" max="57" width="14.140625" style="93" hidden="1" customWidth="1"/>
    <col min="58" max="58" width="12.7109375" style="93" customWidth="1"/>
    <col min="59" max="59" width="13" style="93" customWidth="1"/>
    <col min="60" max="61" width="12.140625" style="93" customWidth="1"/>
    <col min="62" max="62" width="13.42578125" style="93" customWidth="1"/>
    <col min="63" max="64" width="12.140625" style="93" customWidth="1"/>
    <col min="65" max="65" width="14.5703125" style="93" customWidth="1"/>
    <col min="66" max="66" width="14.42578125" style="93" customWidth="1"/>
    <col min="67" max="69" width="12.85546875" hidden="1" customWidth="1"/>
    <col min="70" max="70" width="12.5703125" hidden="1" customWidth="1"/>
    <col min="71" max="71" width="14.42578125" hidden="1" customWidth="1"/>
    <col min="72" max="72" width="13.5703125" hidden="1" customWidth="1"/>
    <col min="73" max="73" width="15.42578125" hidden="1" customWidth="1"/>
    <col min="74" max="74" width="13.5703125" hidden="1" customWidth="1"/>
    <col min="75" max="76" width="15.42578125" hidden="1" customWidth="1"/>
    <col min="77" max="78" width="13.140625" style="93" hidden="1" customWidth="1"/>
    <col min="79" max="79" width="15.7109375" hidden="1" customWidth="1"/>
    <col min="80" max="80" width="18.42578125" customWidth="1"/>
    <col min="81" max="81" width="16.140625" customWidth="1"/>
  </cols>
  <sheetData>
    <row r="1" spans="1:81" ht="15" customHeight="1" x14ac:dyDescent="0.2">
      <c r="A1" s="3"/>
      <c r="B1" s="632" t="s">
        <v>476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C1" s="633"/>
      <c r="AD1" s="633"/>
      <c r="AE1" s="633"/>
      <c r="AF1" s="633"/>
      <c r="AG1" s="633"/>
      <c r="AH1" s="633"/>
      <c r="AI1" s="633"/>
      <c r="AJ1" s="633"/>
      <c r="AK1" s="633"/>
      <c r="AL1" s="633"/>
      <c r="AM1" s="633"/>
      <c r="AN1" s="633"/>
      <c r="AO1" s="633"/>
      <c r="AP1" s="633"/>
      <c r="AQ1" s="633"/>
      <c r="AR1" s="633"/>
      <c r="AS1" s="633"/>
      <c r="AT1" s="633"/>
      <c r="AU1" s="633"/>
      <c r="AV1" s="633"/>
      <c r="AW1" s="633"/>
      <c r="AX1" s="633"/>
      <c r="AY1" s="633"/>
      <c r="AZ1" s="633"/>
      <c r="BA1" s="633"/>
      <c r="BB1" s="633"/>
      <c r="BC1" s="633"/>
      <c r="BD1" s="633"/>
      <c r="BE1" s="633"/>
      <c r="BF1" s="633"/>
      <c r="BG1" s="633"/>
      <c r="BH1" s="633"/>
      <c r="BI1" s="633"/>
      <c r="BJ1" s="633"/>
      <c r="BK1" s="633"/>
      <c r="BL1" s="633"/>
      <c r="BM1" s="633"/>
      <c r="BN1" s="633"/>
      <c r="BO1" s="311"/>
      <c r="BP1" s="17"/>
      <c r="BY1"/>
      <c r="BZ1"/>
    </row>
    <row r="2" spans="1:81" ht="15" customHeight="1" thickBot="1" x14ac:dyDescent="0.3">
      <c r="A2" s="3"/>
      <c r="C2" s="1"/>
      <c r="D2" s="1"/>
      <c r="E2" s="7"/>
      <c r="F2" s="1"/>
      <c r="G2" s="1"/>
      <c r="H2" s="1"/>
      <c r="I2" s="1"/>
      <c r="J2" s="1"/>
      <c r="K2" s="1"/>
      <c r="L2" s="1"/>
      <c r="M2" s="214" t="s">
        <v>136</v>
      </c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Q2" s="244" t="s">
        <v>367</v>
      </c>
      <c r="BS2" s="100"/>
    </row>
    <row r="3" spans="1:81" ht="73.5" customHeight="1" x14ac:dyDescent="0.25">
      <c r="A3" s="4" t="s">
        <v>0</v>
      </c>
      <c r="B3" s="63" t="s">
        <v>1</v>
      </c>
      <c r="C3" s="63"/>
      <c r="D3" s="63" t="s">
        <v>323</v>
      </c>
      <c r="E3" s="63" t="s">
        <v>377</v>
      </c>
      <c r="F3" s="134" t="s">
        <v>338</v>
      </c>
      <c r="G3" s="63" t="s">
        <v>340</v>
      </c>
      <c r="H3" s="63" t="s">
        <v>324</v>
      </c>
      <c r="I3" s="63" t="s">
        <v>341</v>
      </c>
      <c r="J3" s="63" t="s">
        <v>286</v>
      </c>
      <c r="K3" s="63" t="s">
        <v>193</v>
      </c>
      <c r="L3" s="64" t="s">
        <v>329</v>
      </c>
      <c r="M3" s="134" t="s">
        <v>322</v>
      </c>
      <c r="N3" s="190" t="s">
        <v>322</v>
      </c>
      <c r="O3" s="83" t="s">
        <v>150</v>
      </c>
      <c r="P3" s="84" t="s">
        <v>151</v>
      </c>
      <c r="Q3" s="84" t="s">
        <v>152</v>
      </c>
      <c r="R3" s="120" t="s">
        <v>202</v>
      </c>
      <c r="S3" s="83" t="s">
        <v>153</v>
      </c>
      <c r="T3" s="84" t="s">
        <v>154</v>
      </c>
      <c r="U3" s="84" t="s">
        <v>155</v>
      </c>
      <c r="V3" s="120" t="s">
        <v>217</v>
      </c>
      <c r="W3" s="83" t="s">
        <v>156</v>
      </c>
      <c r="X3" s="84" t="s">
        <v>157</v>
      </c>
      <c r="Y3" s="84" t="s">
        <v>158</v>
      </c>
      <c r="Z3" s="123" t="s">
        <v>218</v>
      </c>
      <c r="AA3" s="76" t="s">
        <v>159</v>
      </c>
      <c r="AB3" s="32" t="s">
        <v>160</v>
      </c>
      <c r="AC3" s="32" t="s">
        <v>161</v>
      </c>
      <c r="AD3" s="190" t="s">
        <v>419</v>
      </c>
      <c r="AE3" s="302" t="s">
        <v>378</v>
      </c>
      <c r="AF3" s="190" t="s">
        <v>342</v>
      </c>
      <c r="AG3" s="301" t="s">
        <v>428</v>
      </c>
      <c r="AH3" s="301" t="s">
        <v>432</v>
      </c>
      <c r="AI3" s="301" t="s">
        <v>194</v>
      </c>
      <c r="AJ3" s="301" t="s">
        <v>195</v>
      </c>
      <c r="AK3" s="301" t="s">
        <v>198</v>
      </c>
      <c r="AL3" s="301" t="s">
        <v>290</v>
      </c>
      <c r="AM3" s="301" t="s">
        <v>2</v>
      </c>
      <c r="AN3" s="301" t="s">
        <v>3</v>
      </c>
      <c r="AO3" s="301" t="s">
        <v>4</v>
      </c>
      <c r="AP3" s="301" t="s">
        <v>5</v>
      </c>
      <c r="AQ3" s="301" t="s">
        <v>96</v>
      </c>
      <c r="AR3" s="301" t="s">
        <v>97</v>
      </c>
      <c r="AS3" s="301" t="s">
        <v>98</v>
      </c>
      <c r="AT3" s="301" t="s">
        <v>99</v>
      </c>
      <c r="AU3" s="301" t="s">
        <v>325</v>
      </c>
      <c r="AV3" s="301"/>
      <c r="AW3" s="301"/>
      <c r="AX3" s="301"/>
      <c r="AY3" s="301" t="s">
        <v>365</v>
      </c>
      <c r="AZ3" s="303" t="s">
        <v>359</v>
      </c>
      <c r="BA3" s="303" t="s">
        <v>361</v>
      </c>
      <c r="BB3" s="303" t="s">
        <v>368</v>
      </c>
      <c r="BC3" s="303" t="s">
        <v>380</v>
      </c>
      <c r="BD3" s="303" t="s">
        <v>356</v>
      </c>
      <c r="BE3" s="303" t="s">
        <v>475</v>
      </c>
      <c r="BF3" s="303" t="s">
        <v>357</v>
      </c>
      <c r="BG3" s="303" t="s">
        <v>358</v>
      </c>
      <c r="BH3" s="303" t="s">
        <v>409</v>
      </c>
      <c r="BI3" s="303" t="s">
        <v>410</v>
      </c>
      <c r="BJ3" s="303" t="s">
        <v>489</v>
      </c>
      <c r="BK3" s="303" t="s">
        <v>420</v>
      </c>
      <c r="BL3" s="303" t="s">
        <v>427</v>
      </c>
      <c r="BM3" s="303" t="s">
        <v>435</v>
      </c>
      <c r="BN3" s="304" t="s">
        <v>588</v>
      </c>
      <c r="BO3" s="190" t="s">
        <v>431</v>
      </c>
      <c r="BP3" s="301" t="s">
        <v>429</v>
      </c>
      <c r="BQ3" s="190" t="s">
        <v>430</v>
      </c>
      <c r="BR3" s="185" t="s">
        <v>416</v>
      </c>
      <c r="BS3" s="188" t="s">
        <v>366</v>
      </c>
      <c r="BT3" s="185" t="s">
        <v>379</v>
      </c>
      <c r="BU3" s="188" t="s">
        <v>421</v>
      </c>
      <c r="BV3" s="185" t="s">
        <v>417</v>
      </c>
      <c r="BW3" s="188" t="s">
        <v>418</v>
      </c>
      <c r="BX3" s="115" t="s">
        <v>425</v>
      </c>
      <c r="BY3" s="115" t="s">
        <v>412</v>
      </c>
      <c r="BZ3" s="115" t="s">
        <v>411</v>
      </c>
      <c r="CA3" s="56" t="s">
        <v>423</v>
      </c>
      <c r="CB3" s="364"/>
    </row>
    <row r="4" spans="1:81" s="14" customFormat="1" ht="17.25" customHeight="1" outlineLevel="1" thickBot="1" x14ac:dyDescent="0.35">
      <c r="A4" s="5" t="s">
        <v>7</v>
      </c>
      <c r="B4" s="460" t="s">
        <v>473</v>
      </c>
      <c r="C4" s="461"/>
      <c r="D4" s="48">
        <v>164912.5</v>
      </c>
      <c r="E4" s="462">
        <v>169295.4</v>
      </c>
      <c r="F4" s="463">
        <v>183012.2</v>
      </c>
      <c r="G4" s="464">
        <v>8907.5</v>
      </c>
      <c r="H4" s="465">
        <v>5481.1</v>
      </c>
      <c r="I4" s="464">
        <f>237.7+273.3+1395.6</f>
        <v>1906.6</v>
      </c>
      <c r="J4" s="465">
        <f>3885.2+511.1+6157.4+3552.2</f>
        <v>14105.900000000001</v>
      </c>
      <c r="K4" s="464">
        <f>698.7+2697</f>
        <v>3395.7</v>
      </c>
      <c r="L4" s="465">
        <f>K4+J4+I4+H4+G4</f>
        <v>33796.800000000003</v>
      </c>
      <c r="M4" s="466" t="e">
        <f>L4+#REF!</f>
        <v>#REF!</v>
      </c>
      <c r="N4" s="220">
        <f>O4+P4+Q4+S4+T4+U4+W4+X4+Y4+AA4+AB4+AC4</f>
        <v>195059.69999999995</v>
      </c>
      <c r="O4" s="91">
        <v>5703.8</v>
      </c>
      <c r="P4" s="48">
        <v>14978.7</v>
      </c>
      <c r="Q4" s="48">
        <v>12671.6</v>
      </c>
      <c r="R4" s="467">
        <f t="shared" ref="R4" si="0">O4+P4+Q4</f>
        <v>33354.1</v>
      </c>
      <c r="S4" s="91">
        <v>15998.1</v>
      </c>
      <c r="T4" s="48">
        <v>13436.7</v>
      </c>
      <c r="U4" s="48">
        <v>17376.5</v>
      </c>
      <c r="V4" s="467">
        <f>S4+T4+U4</f>
        <v>46811.3</v>
      </c>
      <c r="W4" s="91">
        <v>15903.9</v>
      </c>
      <c r="X4" s="48">
        <v>16384.8</v>
      </c>
      <c r="Y4" s="48">
        <v>14701.9</v>
      </c>
      <c r="Z4" s="467">
        <f>W4+X4+Y4</f>
        <v>46990.6</v>
      </c>
      <c r="AA4" s="81">
        <v>16143.6</v>
      </c>
      <c r="AB4" s="48">
        <v>17963.3</v>
      </c>
      <c r="AC4" s="48">
        <v>33796.800000000003</v>
      </c>
      <c r="AD4" s="466">
        <f>R4+V4+W4+X4+Y4+AA4</f>
        <v>143299.59999999998</v>
      </c>
      <c r="AE4" s="466">
        <v>206608.1</v>
      </c>
      <c r="AF4" s="466">
        <v>213069.1</v>
      </c>
      <c r="AG4" s="466">
        <f>AH4</f>
        <v>170812.19999999998</v>
      </c>
      <c r="AH4" s="466">
        <f>AI4+AJ4+AK4+AL4+AM4+AN4+AO4+AP4+AQ4+AR4+AS4</f>
        <v>170812.19999999998</v>
      </c>
      <c r="AI4" s="466">
        <v>0</v>
      </c>
      <c r="AJ4" s="466">
        <v>16975</v>
      </c>
      <c r="AK4" s="466">
        <v>17977</v>
      </c>
      <c r="AL4" s="466">
        <v>16300</v>
      </c>
      <c r="AM4" s="466">
        <v>17850</v>
      </c>
      <c r="AN4" s="466">
        <v>18079.400000000001</v>
      </c>
      <c r="AO4" s="466">
        <v>15902</v>
      </c>
      <c r="AP4" s="466">
        <v>16777.400000000001</v>
      </c>
      <c r="AQ4" s="466">
        <v>16471</v>
      </c>
      <c r="AR4" s="466">
        <v>17080.400000000001</v>
      </c>
      <c r="AS4" s="466">
        <v>17400</v>
      </c>
      <c r="AT4" s="466">
        <v>35795.9</v>
      </c>
      <c r="AU4" s="466"/>
      <c r="AV4" s="468"/>
      <c r="AW4" s="468"/>
      <c r="AX4" s="468"/>
      <c r="AY4" s="466">
        <v>-3906.7</v>
      </c>
      <c r="AZ4" s="466">
        <v>5623.7</v>
      </c>
      <c r="BA4" s="466">
        <v>-1174.3</v>
      </c>
      <c r="BB4" s="466">
        <f>8910.8+15853.9+190.5</f>
        <v>24955.199999999997</v>
      </c>
      <c r="BC4" s="466">
        <f>3159.1-459.6+9953.3+520.2+22+4105.7</f>
        <v>17300.7</v>
      </c>
      <c r="BD4" s="466">
        <v>16823</v>
      </c>
      <c r="BE4" s="468">
        <f>AZ4+BA4+BB4+BC4+BD4</f>
        <v>63528.3</v>
      </c>
      <c r="BF4" s="466">
        <f>442.8+20214.3</f>
        <v>20657.099999999999</v>
      </c>
      <c r="BG4" s="466">
        <f>3819.5+5040.3+9122.3+1176.6</f>
        <v>19158.699999999997</v>
      </c>
      <c r="BH4" s="466">
        <v>18470.3</v>
      </c>
      <c r="BI4" s="466">
        <f>11666.8+6415.8</f>
        <v>18082.599999999999</v>
      </c>
      <c r="BJ4" s="468">
        <f>AZ4+BA4+BB4+BC4+BD4+BF4+BG4+BH4+BI4</f>
        <v>139897</v>
      </c>
      <c r="BK4" s="466">
        <f>16015.8+367.3</f>
        <v>16383.099999999999</v>
      </c>
      <c r="BL4" s="466">
        <f>2350+15233+452.3</f>
        <v>18035.3</v>
      </c>
      <c r="BM4" s="466">
        <f>4396.8+18.9+7613.6+6926.4+2.8+2456+298.9+6727+10220.6+933.6</f>
        <v>39594.6</v>
      </c>
      <c r="BN4" s="469">
        <f t="shared" ref="BN4:BN12" si="1">BJ4+BK4+BL4+BM4</f>
        <v>213910</v>
      </c>
      <c r="BO4" s="70">
        <f>BL4-AS4</f>
        <v>635.29999999999927</v>
      </c>
      <c r="BP4" s="70">
        <f>BN4-AG4</f>
        <v>43097.800000000017</v>
      </c>
      <c r="BQ4" s="70">
        <f>BN4-AH4</f>
        <v>43097.800000000017</v>
      </c>
      <c r="BR4" s="66">
        <f>BN4/AE4*100</f>
        <v>103.5341789600698</v>
      </c>
      <c r="BS4" s="102">
        <f>BN4-AE4</f>
        <v>7301.8999999999942</v>
      </c>
      <c r="BT4" s="186">
        <f>BN4/AF4*100</f>
        <v>100.39466069927549</v>
      </c>
      <c r="BU4" s="186">
        <f>BN4-AF4</f>
        <v>840.89999999999418</v>
      </c>
      <c r="BV4" s="186">
        <f>BN4/AD4*100</f>
        <v>149.27466650290722</v>
      </c>
      <c r="BW4" s="186">
        <f>BN4-AD4</f>
        <v>70610.400000000023</v>
      </c>
      <c r="BX4" s="176">
        <v>18815</v>
      </c>
      <c r="BY4" s="176">
        <v>19428.7</v>
      </c>
      <c r="BZ4" s="176">
        <v>34800</v>
      </c>
      <c r="CA4" s="361">
        <f>BN4+BY4+BZ4</f>
        <v>268138.7</v>
      </c>
      <c r="CB4" s="362"/>
      <c r="CC4" s="14">
        <f>BM4/BL4*100</f>
        <v>219.53945872816089</v>
      </c>
    </row>
    <row r="5" spans="1:81" ht="34.5" customHeight="1" x14ac:dyDescent="0.3">
      <c r="B5" s="476" t="s">
        <v>474</v>
      </c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8"/>
      <c r="AO5" s="478"/>
      <c r="AP5" s="478"/>
      <c r="AQ5" s="478"/>
      <c r="AR5" s="478"/>
      <c r="AS5" s="478"/>
      <c r="AT5" s="478"/>
      <c r="AU5" s="478"/>
      <c r="AV5" s="478"/>
      <c r="AW5" s="478"/>
      <c r="AX5" s="478"/>
      <c r="AY5" s="478"/>
      <c r="AZ5" s="479">
        <v>7026.1</v>
      </c>
      <c r="BA5" s="479">
        <v>15402.3</v>
      </c>
      <c r="BB5" s="479">
        <v>15030.4</v>
      </c>
      <c r="BC5" s="479">
        <v>15025.5</v>
      </c>
      <c r="BD5" s="479">
        <v>20211.3</v>
      </c>
      <c r="BE5" s="480">
        <f>AZ5+BA5+BB5+BC5+BD5</f>
        <v>72695.600000000006</v>
      </c>
      <c r="BF5" s="479">
        <v>24812.799999999999</v>
      </c>
      <c r="BG5" s="479">
        <v>25239.599999999999</v>
      </c>
      <c r="BH5" s="479">
        <v>18539.7</v>
      </c>
      <c r="BI5" s="479">
        <v>19721.7</v>
      </c>
      <c r="BJ5" s="480">
        <f>AZ5+BA5+BB5+BC5+BD5+BF5+BG5+BH5+BI5</f>
        <v>161009.40000000002</v>
      </c>
      <c r="BK5" s="479">
        <v>22585.7</v>
      </c>
      <c r="BL5" s="481">
        <f>456.9+21094.4</f>
        <v>21551.300000000003</v>
      </c>
      <c r="BM5" s="481">
        <f>5589.8+17833.5+3033.4+1.9+78.5+8896.4+24.3+9.3+6893.2-15.7+0.5+27.8+0.5</f>
        <v>42373.400000000009</v>
      </c>
      <c r="BN5" s="482">
        <f t="shared" si="1"/>
        <v>247519.80000000005</v>
      </c>
      <c r="BY5" s="104"/>
      <c r="BZ5" s="104"/>
      <c r="CB5" s="363"/>
      <c r="CC5">
        <f>BL4*CC4/100</f>
        <v>39594.6</v>
      </c>
    </row>
    <row r="6" spans="1:81" ht="25.5" customHeight="1" x14ac:dyDescent="0.3">
      <c r="B6" s="483" t="s">
        <v>582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312"/>
      <c r="AQ6" s="312"/>
      <c r="AR6" s="312"/>
      <c r="AS6" s="312"/>
      <c r="AT6" s="312"/>
      <c r="AU6" s="312"/>
      <c r="AV6" s="312"/>
      <c r="AW6" s="312"/>
      <c r="AX6" s="312"/>
      <c r="AY6" s="312"/>
      <c r="AZ6" s="344">
        <v>425.8</v>
      </c>
      <c r="BA6" s="344">
        <v>1069.7</v>
      </c>
      <c r="BB6" s="344">
        <v>668</v>
      </c>
      <c r="BC6" s="344">
        <v>882</v>
      </c>
      <c r="BD6" s="344">
        <v>870.6</v>
      </c>
      <c r="BE6" s="217"/>
      <c r="BF6" s="344">
        <v>948.8</v>
      </c>
      <c r="BG6" s="344">
        <v>845.9</v>
      </c>
      <c r="BH6" s="344">
        <v>851.7</v>
      </c>
      <c r="BI6" s="344">
        <v>850.5</v>
      </c>
      <c r="BJ6" s="217"/>
      <c r="BK6" s="344">
        <v>1001.9</v>
      </c>
      <c r="BL6" s="335">
        <v>916.9</v>
      </c>
      <c r="BM6" s="335">
        <v>858.2</v>
      </c>
      <c r="BN6" s="484">
        <f t="shared" si="1"/>
        <v>2777</v>
      </c>
      <c r="BY6" s="104"/>
      <c r="BZ6" s="104"/>
      <c r="CB6" s="363"/>
    </row>
    <row r="7" spans="1:81" ht="25.5" customHeight="1" x14ac:dyDescent="0.3">
      <c r="B7" s="483" t="s">
        <v>584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12"/>
      <c r="AR7" s="312"/>
      <c r="AS7" s="312"/>
      <c r="AT7" s="312"/>
      <c r="AU7" s="312"/>
      <c r="AV7" s="312"/>
      <c r="AW7" s="312"/>
      <c r="AX7" s="312"/>
      <c r="AY7" s="312"/>
      <c r="AZ7" s="344">
        <v>740.6</v>
      </c>
      <c r="BA7" s="344">
        <v>25.9</v>
      </c>
      <c r="BB7" s="344">
        <v>859.3</v>
      </c>
      <c r="BC7" s="344">
        <v>136.80000000000001</v>
      </c>
      <c r="BD7" s="344">
        <v>659</v>
      </c>
      <c r="BE7" s="217"/>
      <c r="BF7" s="344">
        <v>190.4</v>
      </c>
      <c r="BG7" s="344">
        <v>49.5</v>
      </c>
      <c r="BH7" s="344">
        <v>819.5</v>
      </c>
      <c r="BI7" s="344">
        <v>87.6</v>
      </c>
      <c r="BJ7" s="217"/>
      <c r="BK7" s="344">
        <v>390.3</v>
      </c>
      <c r="BL7" s="335">
        <v>79.8</v>
      </c>
      <c r="BM7" s="335">
        <v>978</v>
      </c>
      <c r="BN7" s="484">
        <f t="shared" si="1"/>
        <v>1448.1</v>
      </c>
      <c r="BY7" s="104"/>
      <c r="BZ7" s="104"/>
      <c r="CB7" s="363"/>
    </row>
    <row r="8" spans="1:81" ht="38.25" customHeight="1" thickBot="1" x14ac:dyDescent="0.35">
      <c r="B8" s="485" t="s">
        <v>585</v>
      </c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6"/>
      <c r="AL8" s="486"/>
      <c r="AM8" s="486"/>
      <c r="AN8" s="486"/>
      <c r="AO8" s="486"/>
      <c r="AP8" s="486"/>
      <c r="AQ8" s="486"/>
      <c r="AR8" s="486"/>
      <c r="AS8" s="486"/>
      <c r="AT8" s="486"/>
      <c r="AU8" s="486"/>
      <c r="AV8" s="486"/>
      <c r="AW8" s="486"/>
      <c r="AX8" s="486"/>
      <c r="AY8" s="486"/>
      <c r="AZ8" s="487">
        <f>AZ5-AZ6-AZ7</f>
        <v>5859.7</v>
      </c>
      <c r="BA8" s="487">
        <f t="shared" ref="BA8:CB8" si="2">BA5-BA6-BA7</f>
        <v>14306.699999999999</v>
      </c>
      <c r="BB8" s="487">
        <f t="shared" si="2"/>
        <v>13503.1</v>
      </c>
      <c r="BC8" s="487">
        <f t="shared" si="2"/>
        <v>14006.7</v>
      </c>
      <c r="BD8" s="487">
        <f t="shared" si="2"/>
        <v>18681.7</v>
      </c>
      <c r="BE8" s="487">
        <f t="shared" si="2"/>
        <v>72695.600000000006</v>
      </c>
      <c r="BF8" s="487">
        <f t="shared" si="2"/>
        <v>23673.599999999999</v>
      </c>
      <c r="BG8" s="487">
        <f t="shared" si="2"/>
        <v>24344.199999999997</v>
      </c>
      <c r="BH8" s="487">
        <f t="shared" si="2"/>
        <v>16868.5</v>
      </c>
      <c r="BI8" s="487">
        <f t="shared" si="2"/>
        <v>18783.600000000002</v>
      </c>
      <c r="BJ8" s="487">
        <f t="shared" si="2"/>
        <v>161009.40000000002</v>
      </c>
      <c r="BK8" s="487">
        <f t="shared" si="2"/>
        <v>21193.5</v>
      </c>
      <c r="BL8" s="487">
        <f t="shared" si="2"/>
        <v>20554.600000000002</v>
      </c>
      <c r="BM8" s="487">
        <f t="shared" si="2"/>
        <v>40537.200000000012</v>
      </c>
      <c r="BN8" s="488">
        <f t="shared" si="1"/>
        <v>243294.70000000004</v>
      </c>
      <c r="BO8" s="459">
        <f t="shared" si="2"/>
        <v>0</v>
      </c>
      <c r="BP8" s="453">
        <f t="shared" si="2"/>
        <v>0</v>
      </c>
      <c r="BQ8" s="453">
        <f t="shared" si="2"/>
        <v>0</v>
      </c>
      <c r="BR8" s="453">
        <f t="shared" si="2"/>
        <v>0</v>
      </c>
      <c r="BS8" s="453">
        <f t="shared" si="2"/>
        <v>0</v>
      </c>
      <c r="BT8" s="453">
        <f t="shared" si="2"/>
        <v>0</v>
      </c>
      <c r="BU8" s="453">
        <f t="shared" si="2"/>
        <v>0</v>
      </c>
      <c r="BV8" s="453">
        <f t="shared" si="2"/>
        <v>0</v>
      </c>
      <c r="BW8" s="453">
        <f t="shared" si="2"/>
        <v>0</v>
      </c>
      <c r="BX8" s="453">
        <f t="shared" si="2"/>
        <v>0</v>
      </c>
      <c r="BY8" s="453">
        <f t="shared" si="2"/>
        <v>0</v>
      </c>
      <c r="BZ8" s="453">
        <f t="shared" si="2"/>
        <v>0</v>
      </c>
      <c r="CA8" s="453">
        <f t="shared" si="2"/>
        <v>0</v>
      </c>
      <c r="CB8" s="453">
        <f t="shared" si="2"/>
        <v>0</v>
      </c>
    </row>
    <row r="9" spans="1:81" ht="25.5" customHeight="1" x14ac:dyDescent="0.3">
      <c r="B9" s="470" t="s">
        <v>557</v>
      </c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2"/>
      <c r="AF9" s="472"/>
      <c r="AG9" s="472"/>
      <c r="AH9" s="472"/>
      <c r="AI9" s="472"/>
      <c r="AJ9" s="472"/>
      <c r="AK9" s="472"/>
      <c r="AL9" s="472"/>
      <c r="AM9" s="472"/>
      <c r="AN9" s="472"/>
      <c r="AO9" s="472"/>
      <c r="AP9" s="472"/>
      <c r="AQ9" s="472"/>
      <c r="AR9" s="472"/>
      <c r="AS9" s="472"/>
      <c r="AT9" s="472"/>
      <c r="AU9" s="472"/>
      <c r="AV9" s="472"/>
      <c r="AW9" s="472"/>
      <c r="AX9" s="472"/>
      <c r="AY9" s="472"/>
      <c r="AZ9" s="473">
        <v>7251.1</v>
      </c>
      <c r="BA9" s="473">
        <v>20116.2</v>
      </c>
      <c r="BB9" s="473">
        <v>17251.400000000001</v>
      </c>
      <c r="BC9" s="473">
        <v>21634.3</v>
      </c>
      <c r="BD9" s="473">
        <v>18283.400000000001</v>
      </c>
      <c r="BE9" s="474"/>
      <c r="BF9" s="473">
        <v>26360.2</v>
      </c>
      <c r="BG9" s="473">
        <v>26462.5</v>
      </c>
      <c r="BH9" s="473">
        <v>22080.7</v>
      </c>
      <c r="BI9" s="473">
        <v>22132.400000000001</v>
      </c>
      <c r="BJ9" s="480">
        <f>AZ9+BA9+BB9+BC9+BD9+BF9+BG9+BH9+BI9</f>
        <v>181572.19999999998</v>
      </c>
      <c r="BK9" s="479">
        <v>21992.7</v>
      </c>
      <c r="BL9" s="473">
        <v>20339.599999999999</v>
      </c>
      <c r="BM9" s="404">
        <v>40537.199999999997</v>
      </c>
      <c r="BN9" s="475">
        <f t="shared" si="1"/>
        <v>264441.7</v>
      </c>
      <c r="BY9" s="104"/>
      <c r="BZ9" s="104"/>
      <c r="CB9" s="363"/>
      <c r="CC9">
        <f>BL9*CC4/100</f>
        <v>44653.447747473008</v>
      </c>
    </row>
    <row r="10" spans="1:81" ht="33" customHeight="1" x14ac:dyDescent="0.3">
      <c r="B10" s="343" t="s">
        <v>581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  <c r="AR10" s="312"/>
      <c r="AS10" s="312"/>
      <c r="AT10" s="312"/>
      <c r="AU10" s="312"/>
      <c r="AV10" s="312"/>
      <c r="AW10" s="312"/>
      <c r="AX10" s="312"/>
      <c r="AY10" s="312"/>
      <c r="AZ10" s="344">
        <v>371.2</v>
      </c>
      <c r="BA10" s="344">
        <v>643.4</v>
      </c>
      <c r="BB10" s="344">
        <v>585</v>
      </c>
      <c r="BC10" s="344">
        <v>530.1</v>
      </c>
      <c r="BD10" s="344">
        <v>326.39999999999998</v>
      </c>
      <c r="BE10" s="217"/>
      <c r="BF10" s="344">
        <v>704.4</v>
      </c>
      <c r="BG10" s="344">
        <v>868.9</v>
      </c>
      <c r="BH10" s="344"/>
      <c r="BI10" s="344"/>
      <c r="BJ10" s="217"/>
      <c r="BK10" s="344"/>
      <c r="BL10" s="335"/>
      <c r="BM10" s="335"/>
      <c r="BN10" s="289">
        <f t="shared" si="1"/>
        <v>0</v>
      </c>
      <c r="BY10" s="104"/>
      <c r="BZ10" s="104"/>
      <c r="CB10" s="363"/>
    </row>
    <row r="11" spans="1:81" ht="33" customHeight="1" x14ac:dyDescent="0.3">
      <c r="B11" s="343" t="s">
        <v>586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  <c r="AR11" s="312"/>
      <c r="AS11" s="312"/>
      <c r="AT11" s="312"/>
      <c r="AU11" s="312"/>
      <c r="AV11" s="312"/>
      <c r="AW11" s="312"/>
      <c r="AX11" s="312"/>
      <c r="AY11" s="312"/>
      <c r="AZ11" s="344">
        <v>0</v>
      </c>
      <c r="BA11" s="344">
        <v>28.4</v>
      </c>
      <c r="BB11" s="344">
        <v>409.2</v>
      </c>
      <c r="BC11" s="344">
        <v>0</v>
      </c>
      <c r="BD11" s="344">
        <v>790.5</v>
      </c>
      <c r="BE11" s="217"/>
      <c r="BF11" s="344">
        <v>242</v>
      </c>
      <c r="BG11" s="344">
        <v>0</v>
      </c>
      <c r="BH11" s="344"/>
      <c r="BI11" s="344"/>
      <c r="BJ11" s="217"/>
      <c r="BK11" s="344"/>
      <c r="BL11" s="335"/>
      <c r="BM11" s="335"/>
      <c r="BN11" s="289">
        <f t="shared" si="1"/>
        <v>0</v>
      </c>
      <c r="BY11" s="104"/>
      <c r="BZ11" s="104"/>
      <c r="CB11" s="363"/>
    </row>
    <row r="12" spans="1:81" ht="38.25" customHeight="1" x14ac:dyDescent="0.3">
      <c r="B12" s="451" t="s">
        <v>587</v>
      </c>
      <c r="C12" s="452"/>
      <c r="D12" s="452"/>
      <c r="E12" s="452"/>
      <c r="F12" s="452"/>
      <c r="G12" s="45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2"/>
      <c r="Y12" s="452"/>
      <c r="Z12" s="452"/>
      <c r="AA12" s="452"/>
      <c r="AB12" s="452"/>
      <c r="AC12" s="452"/>
      <c r="AD12" s="452"/>
      <c r="AE12" s="452"/>
      <c r="AF12" s="452"/>
      <c r="AG12" s="452"/>
      <c r="AH12" s="452"/>
      <c r="AI12" s="452"/>
      <c r="AJ12" s="452"/>
      <c r="AK12" s="452"/>
      <c r="AL12" s="452"/>
      <c r="AM12" s="452"/>
      <c r="AN12" s="452"/>
      <c r="AO12" s="452"/>
      <c r="AP12" s="452"/>
      <c r="AQ12" s="452"/>
      <c r="AR12" s="452"/>
      <c r="AS12" s="452"/>
      <c r="AT12" s="452"/>
      <c r="AU12" s="452"/>
      <c r="AV12" s="452"/>
      <c r="AW12" s="452"/>
      <c r="AX12" s="452"/>
      <c r="AY12" s="452"/>
      <c r="AZ12" s="453">
        <f>AZ9-AZ10-AZ11</f>
        <v>6879.9000000000005</v>
      </c>
      <c r="BA12" s="453">
        <f t="shared" ref="BA12:BG12" si="3">BA9-BA10-BA11</f>
        <v>19444.399999999998</v>
      </c>
      <c r="BB12" s="453">
        <f t="shared" si="3"/>
        <v>16257.2</v>
      </c>
      <c r="BC12" s="453">
        <f t="shared" si="3"/>
        <v>21104.2</v>
      </c>
      <c r="BD12" s="453">
        <f t="shared" si="3"/>
        <v>17166.5</v>
      </c>
      <c r="BE12" s="453">
        <f t="shared" si="3"/>
        <v>0</v>
      </c>
      <c r="BF12" s="453">
        <f t="shared" si="3"/>
        <v>25413.8</v>
      </c>
      <c r="BG12" s="453">
        <f t="shared" si="3"/>
        <v>25593.599999999999</v>
      </c>
      <c r="BH12" s="453"/>
      <c r="BI12" s="453"/>
      <c r="BJ12" s="454"/>
      <c r="BK12" s="453"/>
      <c r="BL12" s="455"/>
      <c r="BM12" s="455"/>
      <c r="BN12" s="289">
        <f t="shared" si="1"/>
        <v>0</v>
      </c>
      <c r="BO12" s="456"/>
      <c r="BP12" s="456"/>
      <c r="BQ12" s="456"/>
      <c r="BR12" s="456"/>
      <c r="BS12" s="456"/>
      <c r="BT12" s="456"/>
      <c r="BU12" s="456"/>
      <c r="BV12" s="456"/>
      <c r="BW12" s="456"/>
      <c r="BX12" s="456"/>
      <c r="BY12" s="457"/>
      <c r="BZ12" s="457"/>
      <c r="CA12" s="456"/>
      <c r="CB12" s="458"/>
    </row>
    <row r="13" spans="1:81" ht="38.25" customHeight="1" x14ac:dyDescent="0.3">
      <c r="B13" s="451" t="s">
        <v>589</v>
      </c>
      <c r="C13" s="452"/>
      <c r="D13" s="452"/>
      <c r="E13" s="452"/>
      <c r="F13" s="452"/>
      <c r="G13" s="452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  <c r="T13" s="452"/>
      <c r="U13" s="452"/>
      <c r="V13" s="452"/>
      <c r="W13" s="452"/>
      <c r="X13" s="452"/>
      <c r="Y13" s="452"/>
      <c r="Z13" s="452"/>
      <c r="AA13" s="452"/>
      <c r="AB13" s="452"/>
      <c r="AC13" s="452"/>
      <c r="AD13" s="452"/>
      <c r="AE13" s="452"/>
      <c r="AF13" s="452"/>
      <c r="AG13" s="452"/>
      <c r="AH13" s="452"/>
      <c r="AI13" s="452"/>
      <c r="AJ13" s="452"/>
      <c r="AK13" s="452"/>
      <c r="AL13" s="452"/>
      <c r="AM13" s="452"/>
      <c r="AN13" s="452"/>
      <c r="AO13" s="452"/>
      <c r="AP13" s="452"/>
      <c r="AQ13" s="452"/>
      <c r="AR13" s="452"/>
      <c r="AS13" s="452"/>
      <c r="AT13" s="452"/>
      <c r="AU13" s="452"/>
      <c r="AV13" s="452"/>
      <c r="AW13" s="452"/>
      <c r="AX13" s="452"/>
      <c r="AY13" s="452"/>
      <c r="AZ13" s="453"/>
      <c r="BA13" s="453"/>
      <c r="BB13" s="453"/>
      <c r="BC13" s="453"/>
      <c r="BD13" s="453"/>
      <c r="BE13" s="453"/>
      <c r="BF13" s="453"/>
      <c r="BG13" s="453"/>
      <c r="BH13" s="453"/>
      <c r="BI13" s="453"/>
      <c r="BJ13" s="454"/>
      <c r="BK13" s="453"/>
      <c r="BL13" s="455"/>
      <c r="BM13" s="455"/>
      <c r="BN13" s="289"/>
      <c r="BO13" s="456"/>
      <c r="BP13" s="456"/>
      <c r="BQ13" s="456"/>
      <c r="BR13" s="456"/>
      <c r="BS13" s="456"/>
      <c r="BT13" s="456"/>
      <c r="BU13" s="456"/>
      <c r="BV13" s="456"/>
      <c r="BW13" s="456"/>
      <c r="BX13" s="456"/>
      <c r="BY13" s="457"/>
      <c r="BZ13" s="457"/>
      <c r="CA13" s="456"/>
      <c r="CB13" s="458"/>
    </row>
    <row r="14" spans="1:81" ht="42" customHeight="1" x14ac:dyDescent="0.3">
      <c r="B14" s="343" t="s">
        <v>583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2"/>
      <c r="AP14" s="312"/>
      <c r="AQ14" s="312"/>
      <c r="AR14" s="312"/>
      <c r="AS14" s="312"/>
      <c r="AT14" s="312"/>
      <c r="AU14" s="312"/>
      <c r="AV14" s="312"/>
      <c r="AW14" s="312"/>
      <c r="AX14" s="312"/>
      <c r="AY14" s="312"/>
      <c r="AZ14" s="344">
        <f>AZ12/AZ8*100</f>
        <v>117.41044763383792</v>
      </c>
      <c r="BA14" s="344">
        <f t="shared" ref="BA14:BG14" si="4">BA12/BA8*100</f>
        <v>135.91114652575368</v>
      </c>
      <c r="BB14" s="344">
        <f t="shared" si="4"/>
        <v>120.39605720167961</v>
      </c>
      <c r="BC14" s="344">
        <f t="shared" si="4"/>
        <v>150.67217831466368</v>
      </c>
      <c r="BD14" s="344">
        <f t="shared" si="4"/>
        <v>91.889389081293459</v>
      </c>
      <c r="BE14" s="344">
        <f t="shared" si="4"/>
        <v>0</v>
      </c>
      <c r="BF14" s="344">
        <f t="shared" si="4"/>
        <v>107.35080427142472</v>
      </c>
      <c r="BG14" s="344">
        <f t="shared" si="4"/>
        <v>105.13222862119109</v>
      </c>
      <c r="BH14" s="344"/>
      <c r="BI14" s="344"/>
      <c r="BJ14" s="217"/>
      <c r="BK14" s="344"/>
      <c r="BL14" s="335"/>
      <c r="BM14" s="335"/>
      <c r="BN14" s="289"/>
      <c r="BY14" s="104"/>
      <c r="BZ14" s="104"/>
      <c r="CB14" s="363"/>
    </row>
    <row r="15" spans="1:81" ht="25.5" customHeight="1" x14ac:dyDescent="0.3">
      <c r="B15" s="140" t="s">
        <v>558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2"/>
      <c r="AK15" s="312"/>
      <c r="AL15" s="312"/>
      <c r="AM15" s="312"/>
      <c r="AN15" s="312"/>
      <c r="AO15" s="312"/>
      <c r="AP15" s="312"/>
      <c r="AQ15" s="312"/>
      <c r="AR15" s="312"/>
      <c r="AS15" s="312"/>
      <c r="AT15" s="312"/>
      <c r="AU15" s="312"/>
      <c r="AV15" s="312"/>
      <c r="AW15" s="312"/>
      <c r="AX15" s="312"/>
      <c r="AY15" s="312"/>
      <c r="AZ15" s="46">
        <f>AZ5/AZ4*100</f>
        <v>124.93731884702244</v>
      </c>
      <c r="BA15" s="46">
        <f t="shared" ref="BA15:BC15" si="5">BA5/BA4*100</f>
        <v>-1311.6154304692157</v>
      </c>
      <c r="BB15" s="46">
        <f t="shared" si="5"/>
        <v>60.229531320125673</v>
      </c>
      <c r="BC15" s="46">
        <f t="shared" si="5"/>
        <v>86.849087031160593</v>
      </c>
      <c r="BD15" s="46">
        <f>BD5/BD4*100</f>
        <v>120.14087855911548</v>
      </c>
      <c r="BE15" s="46">
        <f t="shared" ref="BE15:BI15" si="6">BE5/BE4*100</f>
        <v>114.43026178884057</v>
      </c>
      <c r="BF15" s="46">
        <f t="shared" si="6"/>
        <v>120.11753827981664</v>
      </c>
      <c r="BG15" s="46">
        <f t="shared" si="6"/>
        <v>131.73962742774825</v>
      </c>
      <c r="BH15" s="46">
        <f t="shared" si="6"/>
        <v>100.37573834750926</v>
      </c>
      <c r="BI15" s="46">
        <f t="shared" si="6"/>
        <v>109.0645150586752</v>
      </c>
      <c r="BJ15" s="312">
        <f>BJ5/BJ4*100</f>
        <v>115.0913886645175</v>
      </c>
      <c r="BK15" s="46">
        <f t="shared" ref="BK15:BL15" si="7">BK5/BK4*100</f>
        <v>137.8597457135707</v>
      </c>
      <c r="BL15" s="46">
        <f t="shared" si="7"/>
        <v>119.49510127361343</v>
      </c>
      <c r="BM15" s="46">
        <f>BM5/BM4*100</f>
        <v>107.01812873472647</v>
      </c>
      <c r="BN15" s="46">
        <f>BN5/BN4*100</f>
        <v>115.71212192043386</v>
      </c>
      <c r="CB15" s="32"/>
    </row>
  </sheetData>
  <mergeCells count="1">
    <mergeCell ref="B1:BN1"/>
  </mergeCells>
  <pageMargins left="0.74803149606299213" right="0.11811023622047245" top="0.11811023622047245" bottom="0.11811023622047245" header="0.51181102362204722" footer="0.51181102362204722"/>
  <pageSetup paperSize="9" scale="56" fitToHeight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F122"/>
  <sheetViews>
    <sheetView topLeftCell="B1" zoomScale="80" zoomScaleNormal="80" workbookViewId="0">
      <pane xSplit="16" ySplit="3" topLeftCell="T106" activePane="bottomRight" state="frozen"/>
      <selection activeCell="B1" sqref="B1"/>
      <selection pane="topRight" activeCell="AK1" sqref="AK1"/>
      <selection pane="bottomLeft" activeCell="B4" sqref="B4"/>
      <selection pane="bottomRight" activeCell="C111" sqref="C111"/>
    </sheetView>
  </sheetViews>
  <sheetFormatPr defaultRowHeight="12.75" customHeight="1" outlineLevelRow="7" x14ac:dyDescent="0.2"/>
  <cols>
    <col min="1" max="1" width="17.85546875" style="6" hidden="1" customWidth="1"/>
    <col min="2" max="2" width="36.28515625" customWidth="1"/>
    <col min="3" max="3" width="4.5703125" customWidth="1"/>
    <col min="4" max="5" width="14.42578125" hidden="1" customWidth="1"/>
    <col min="6" max="6" width="13.5703125" style="93" hidden="1" customWidth="1"/>
    <col min="7" max="7" width="12.5703125" style="93" hidden="1" customWidth="1"/>
    <col min="8" max="8" width="12" style="93" hidden="1" customWidth="1"/>
    <col min="9" max="9" width="12.140625" style="93" hidden="1" customWidth="1"/>
    <col min="10" max="10" width="14.140625" style="93" hidden="1" customWidth="1"/>
    <col min="11" max="11" width="12.7109375" style="93" hidden="1" customWidth="1"/>
    <col min="12" max="12" width="13" style="93" hidden="1" customWidth="1"/>
    <col min="13" max="16" width="12.140625" style="93" hidden="1" customWidth="1"/>
    <col min="17" max="17" width="14.5703125" style="93" hidden="1" customWidth="1"/>
    <col min="18" max="19" width="14.42578125" style="93" hidden="1" customWidth="1"/>
    <col min="20" max="23" width="14.42578125" style="93" customWidth="1"/>
    <col min="24" max="24" width="12.28515625" style="93" customWidth="1"/>
    <col min="25" max="26" width="14.42578125" style="93" customWidth="1"/>
    <col min="27" max="27" width="12.140625" style="93" customWidth="1"/>
    <col min="28" max="28" width="13.140625" style="93" customWidth="1"/>
    <col min="29" max="32" width="14.42578125" style="93" customWidth="1"/>
  </cols>
  <sheetData>
    <row r="1" spans="1:32" ht="15" customHeight="1" x14ac:dyDescent="0.2">
      <c r="A1" s="3"/>
      <c r="B1" s="632" t="s">
        <v>556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  <c r="AE1" s="635"/>
      <c r="AF1" s="635"/>
    </row>
    <row r="2" spans="1:32" ht="15" customHeight="1" x14ac:dyDescent="0.2">
      <c r="A2" s="3"/>
      <c r="C2" s="1"/>
      <c r="D2" s="1"/>
      <c r="E2" s="1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32" ht="87" customHeight="1" x14ac:dyDescent="0.2">
      <c r="A3" s="4" t="s">
        <v>0</v>
      </c>
      <c r="B3" s="63" t="s">
        <v>1</v>
      </c>
      <c r="C3" s="63"/>
      <c r="D3" s="301" t="s">
        <v>323</v>
      </c>
      <c r="E3" s="301" t="s">
        <v>553</v>
      </c>
      <c r="F3" s="303" t="s">
        <v>437</v>
      </c>
      <c r="G3" s="303" t="s">
        <v>361</v>
      </c>
      <c r="H3" s="303" t="s">
        <v>368</v>
      </c>
      <c r="I3" s="303" t="s">
        <v>380</v>
      </c>
      <c r="J3" s="303" t="s">
        <v>356</v>
      </c>
      <c r="K3" s="303" t="s">
        <v>357</v>
      </c>
      <c r="L3" s="303" t="s">
        <v>358</v>
      </c>
      <c r="M3" s="303" t="s">
        <v>409</v>
      </c>
      <c r="N3" s="303" t="s">
        <v>410</v>
      </c>
      <c r="O3" s="303" t="s">
        <v>420</v>
      </c>
      <c r="P3" s="303" t="s">
        <v>427</v>
      </c>
      <c r="Q3" s="303" t="s">
        <v>490</v>
      </c>
      <c r="R3" s="327" t="s">
        <v>343</v>
      </c>
      <c r="S3" s="327" t="s">
        <v>444</v>
      </c>
      <c r="T3" s="303" t="s">
        <v>359</v>
      </c>
      <c r="U3" s="303" t="s">
        <v>361</v>
      </c>
      <c r="V3" s="303" t="s">
        <v>368</v>
      </c>
      <c r="W3" s="303" t="s">
        <v>380</v>
      </c>
      <c r="X3" s="303" t="s">
        <v>356</v>
      </c>
      <c r="Y3" s="303" t="s">
        <v>357</v>
      </c>
      <c r="Z3" s="303" t="s">
        <v>358</v>
      </c>
      <c r="AA3" s="303" t="s">
        <v>409</v>
      </c>
      <c r="AB3" s="303" t="s">
        <v>410</v>
      </c>
      <c r="AC3" s="303" t="s">
        <v>420</v>
      </c>
      <c r="AD3" s="303" t="s">
        <v>427</v>
      </c>
      <c r="AE3" s="303" t="s">
        <v>549</v>
      </c>
      <c r="AF3" s="326" t="s">
        <v>555</v>
      </c>
    </row>
    <row r="4" spans="1:32" s="14" customFormat="1" ht="17.25" customHeight="1" outlineLevel="1" x14ac:dyDescent="0.25">
      <c r="A4" s="5" t="s">
        <v>7</v>
      </c>
      <c r="B4" s="194" t="s">
        <v>100</v>
      </c>
      <c r="C4" s="137"/>
      <c r="D4" s="36">
        <v>164912.5</v>
      </c>
      <c r="E4" s="379">
        <v>195059.7</v>
      </c>
      <c r="F4" s="176">
        <v>5623.7</v>
      </c>
      <c r="G4" s="176">
        <v>-1174.3</v>
      </c>
      <c r="H4" s="176">
        <f>8910.8+15853.9+190.5</f>
        <v>24955.199999999997</v>
      </c>
      <c r="I4" s="176">
        <f>3159.1-459.6+9953.3+520.2+22+4105.7</f>
        <v>17300.7</v>
      </c>
      <c r="J4" s="176">
        <v>16823</v>
      </c>
      <c r="K4" s="176">
        <f>442.8+20214.3</f>
        <v>20657.099999999999</v>
      </c>
      <c r="L4" s="176">
        <f>3819.5+5040.3+9122.3+1176.6</f>
        <v>19158.699999999997</v>
      </c>
      <c r="M4" s="176">
        <v>18470.3</v>
      </c>
      <c r="N4" s="176">
        <f>11666.8+6415.8</f>
        <v>18082.599999999999</v>
      </c>
      <c r="O4" s="176">
        <f>16015.8+367.3</f>
        <v>16383.099999999999</v>
      </c>
      <c r="P4" s="176">
        <f>2350+15233+452.3</f>
        <v>18035.3</v>
      </c>
      <c r="Q4" s="176">
        <f>4396.8+18.9+7613.6+6926.4+2.8+2456+298.9+6727+10220.6+933.6</f>
        <v>39594.6</v>
      </c>
      <c r="R4" s="174">
        <f t="shared" ref="R4:R13" si="0">F4+G4+H4+I4+J4+K4+L4+M4+N4+O4+P4+Q4</f>
        <v>213910</v>
      </c>
      <c r="S4" s="324">
        <v>222427.2</v>
      </c>
      <c r="T4" s="335">
        <v>7026.1</v>
      </c>
      <c r="U4" s="335">
        <f>3605+3.3+8891.8+2902.2</f>
        <v>15402.3</v>
      </c>
      <c r="V4" s="335">
        <f>884+14197.9-51.5</f>
        <v>15030.4</v>
      </c>
      <c r="W4" s="335">
        <f>10892.6+3155.7+1003.7-26.5</f>
        <v>15025.5</v>
      </c>
      <c r="X4" s="335">
        <f>517.5+18637.4+1056.4</f>
        <v>20211.300000000003</v>
      </c>
      <c r="Y4" s="335">
        <v>24812.799999999999</v>
      </c>
      <c r="Z4" s="335">
        <f>69.3+3.3+25167</f>
        <v>25239.599999999999</v>
      </c>
      <c r="AA4" s="335">
        <v>18539.7</v>
      </c>
      <c r="AB4" s="335">
        <f>11026.2+2655.5+3.3+3460.9+23.2+2457.1+55.8+39.7</f>
        <v>19721.7</v>
      </c>
      <c r="AC4" s="335">
        <v>22585.7</v>
      </c>
      <c r="AD4" s="335">
        <f>456.9+21094.4</f>
        <v>21551.300000000003</v>
      </c>
      <c r="AE4" s="335">
        <f>5589.8+17833.5+3033.4+1.9+78.5+8896.4+24.3+9.3+6893.2-15.7+0.5+27.8+0.5</f>
        <v>42373.400000000009</v>
      </c>
      <c r="AF4" s="346">
        <f>T4+U4+V4+W4+X4+Y4+Z4+AA4+AB4+AE4+AD4+AC4</f>
        <v>247519.80000000005</v>
      </c>
    </row>
    <row r="5" spans="1:32" s="14" customFormat="1" ht="22.5" outlineLevel="1" x14ac:dyDescent="0.25">
      <c r="A5" s="5" t="s">
        <v>8</v>
      </c>
      <c r="B5" s="194" t="s">
        <v>101</v>
      </c>
      <c r="C5" s="137"/>
      <c r="D5" s="36">
        <v>15503.8</v>
      </c>
      <c r="E5" s="379">
        <v>18740.2</v>
      </c>
      <c r="F5" s="176">
        <v>729.2</v>
      </c>
      <c r="G5" s="176">
        <v>1428.1</v>
      </c>
      <c r="H5" s="176">
        <f>772.4+220.3+1412</f>
        <v>2404.6999999999998</v>
      </c>
      <c r="I5" s="176">
        <f>1473.5+81.7</f>
        <v>1555.2</v>
      </c>
      <c r="J5" s="176">
        <v>1541.9</v>
      </c>
      <c r="K5" s="176">
        <f>36.5+1551.1</f>
        <v>1587.6</v>
      </c>
      <c r="L5" s="176">
        <f>1469.5+183.4</f>
        <v>1652.9</v>
      </c>
      <c r="M5" s="176">
        <v>1726.4</v>
      </c>
      <c r="N5" s="176">
        <f>1601+61.8</f>
        <v>1662.8</v>
      </c>
      <c r="O5" s="176">
        <f>110.7+130.6+1665.4</f>
        <v>1906.7</v>
      </c>
      <c r="P5" s="176">
        <f>808.6+99.6+733.6</f>
        <v>1641.8000000000002</v>
      </c>
      <c r="Q5" s="176">
        <f>1037+135.6+740.1+0.6</f>
        <v>1913.2999999999997</v>
      </c>
      <c r="R5" s="174">
        <f t="shared" si="0"/>
        <v>19750.599999999999</v>
      </c>
      <c r="S5" s="324">
        <v>19449.7</v>
      </c>
      <c r="T5" s="335">
        <v>1686.6</v>
      </c>
      <c r="U5" s="335">
        <f>53+31.2+1608.9</f>
        <v>1693.1000000000001</v>
      </c>
      <c r="V5" s="335">
        <f>1519.6+46.9</f>
        <v>1566.5</v>
      </c>
      <c r="W5" s="335"/>
      <c r="X5" s="335">
        <f>886.7+3.4+863.8-16.2+1794.7+3.1-0.8</f>
        <v>3534.7</v>
      </c>
      <c r="Y5" s="335">
        <v>876.9</v>
      </c>
      <c r="Z5" s="335">
        <v>2514.9</v>
      </c>
      <c r="AA5" s="335">
        <v>1867.9</v>
      </c>
      <c r="AB5" s="335">
        <f>11.3+154.6+1+125.4-125.5</f>
        <v>166.8</v>
      </c>
      <c r="AC5" s="335">
        <v>3506.3</v>
      </c>
      <c r="AD5" s="335">
        <f>849.6+3.3+872.4-38.8+4.6</f>
        <v>1691.1</v>
      </c>
      <c r="AE5" s="335">
        <f>10.9+27.8+355.1+2.6+369.9-92.8+505.6+2.1+556.6+16.9+1+0.4+1.7+0.6</f>
        <v>1758.3999999999999</v>
      </c>
      <c r="AF5" s="346">
        <f t="shared" ref="AF5:AF10" si="1">T5+U5+V5+W5+X5+Y5+Z5+AA5+AB5+AE5+AD5+AC5</f>
        <v>20863.199999999997</v>
      </c>
    </row>
    <row r="6" spans="1:32" s="14" customFormat="1" ht="22.5" outlineLevel="2" x14ac:dyDescent="0.25">
      <c r="A6" s="5" t="s">
        <v>9</v>
      </c>
      <c r="B6" s="195" t="s">
        <v>346</v>
      </c>
      <c r="C6" s="137"/>
      <c r="D6" s="36">
        <v>9211.6</v>
      </c>
      <c r="E6" s="379">
        <v>12727.5</v>
      </c>
      <c r="F6" s="176">
        <v>965.5</v>
      </c>
      <c r="G6" s="176">
        <v>-464</v>
      </c>
      <c r="H6" s="176">
        <f>1007.8+299.2+79.4</f>
        <v>1386.4</v>
      </c>
      <c r="I6" s="176">
        <f>28.7+53.2+1339.5+2075.7+1438.2+1230.3-12.6</f>
        <v>6153</v>
      </c>
      <c r="J6" s="176">
        <v>930</v>
      </c>
      <c r="K6" s="176">
        <f>191.4+62.2</f>
        <v>253.60000000000002</v>
      </c>
      <c r="L6" s="176">
        <f>54.2-41.4+1757.8+622.1</f>
        <v>2392.6999999999998</v>
      </c>
      <c r="M6" s="176">
        <v>134.69999999999999</v>
      </c>
      <c r="N6" s="176">
        <f>264.4-22.7</f>
        <v>241.7</v>
      </c>
      <c r="O6" s="176">
        <f>9.2+73.5+2594.8-6.6+250.6</f>
        <v>2921.5</v>
      </c>
      <c r="P6" s="176">
        <f>69.9-401</f>
        <v>-331.1</v>
      </c>
      <c r="Q6" s="176">
        <f>0.3+97.6+1.1</f>
        <v>98.999999999999986</v>
      </c>
      <c r="R6" s="174">
        <f t="shared" si="0"/>
        <v>14683.000000000002</v>
      </c>
      <c r="S6" s="324">
        <v>17406.8</v>
      </c>
      <c r="T6" s="335">
        <v>52.6</v>
      </c>
      <c r="U6" s="335">
        <f>0.7+260.3+136.6</f>
        <v>397.6</v>
      </c>
      <c r="V6" s="335">
        <f>1937.1+68.1+229.5</f>
        <v>2234.6999999999998</v>
      </c>
      <c r="W6" s="335">
        <f>1016.9-32.6-67.8</f>
        <v>916.5</v>
      </c>
      <c r="X6" s="335">
        <f>2.2+5381.3</f>
        <v>5383.5</v>
      </c>
      <c r="Y6" s="335">
        <v>1488</v>
      </c>
      <c r="Z6" s="335">
        <f>2995.2+12.9-4.9</f>
        <v>3003.2</v>
      </c>
      <c r="AA6" s="335">
        <v>106.2</v>
      </c>
      <c r="AB6" s="335">
        <f>0.3+104.9+67.8</f>
        <v>173</v>
      </c>
      <c r="AC6" s="335">
        <v>3341.1</v>
      </c>
      <c r="AD6" s="335">
        <v>111.3</v>
      </c>
      <c r="AE6" s="335">
        <f>173-2.2+0.1</f>
        <v>170.9</v>
      </c>
      <c r="AF6" s="346">
        <f t="shared" si="1"/>
        <v>17378.599999999999</v>
      </c>
    </row>
    <row r="7" spans="1:32" s="14" customFormat="1" ht="31.5" outlineLevel="2" x14ac:dyDescent="0.25">
      <c r="A7" s="5" t="s">
        <v>10</v>
      </c>
      <c r="B7" s="194" t="s">
        <v>103</v>
      </c>
      <c r="C7" s="137"/>
      <c r="D7" s="36">
        <v>2148.4</v>
      </c>
      <c r="E7" s="379">
        <v>65</v>
      </c>
      <c r="F7" s="176">
        <v>-225.4</v>
      </c>
      <c r="G7" s="176">
        <v>0</v>
      </c>
      <c r="H7" s="176">
        <f>1.3+8.6</f>
        <v>9.9</v>
      </c>
      <c r="I7" s="176">
        <f>15.8+13.9</f>
        <v>29.700000000000003</v>
      </c>
      <c r="J7" s="176"/>
      <c r="K7" s="176">
        <v>18.8</v>
      </c>
      <c r="L7" s="176">
        <v>14.9</v>
      </c>
      <c r="M7" s="176">
        <v>1.3</v>
      </c>
      <c r="N7" s="176"/>
      <c r="O7" s="176">
        <v>2.5</v>
      </c>
      <c r="P7" s="176"/>
      <c r="Q7" s="176">
        <f>2.3+4</f>
        <v>6.3</v>
      </c>
      <c r="R7" s="174">
        <f t="shared" si="0"/>
        <v>-141.99999999999997</v>
      </c>
      <c r="S7" s="324">
        <v>0</v>
      </c>
      <c r="T7" s="335">
        <v>33.9</v>
      </c>
      <c r="U7" s="335">
        <v>0.3</v>
      </c>
      <c r="V7" s="335"/>
      <c r="W7" s="335"/>
      <c r="X7" s="335">
        <v>2.6</v>
      </c>
      <c r="Y7" s="335">
        <v>1.4</v>
      </c>
      <c r="Z7" s="335">
        <v>1</v>
      </c>
      <c r="AA7" s="335">
        <v>5.0999999999999996</v>
      </c>
      <c r="AB7" s="335"/>
      <c r="AC7" s="335">
        <v>10.1</v>
      </c>
      <c r="AD7" s="335">
        <v>4.0999999999999996</v>
      </c>
      <c r="AE7" s="335">
        <v>0.9</v>
      </c>
      <c r="AF7" s="346">
        <f t="shared" si="1"/>
        <v>59.4</v>
      </c>
    </row>
    <row r="8" spans="1:32" s="14" customFormat="1" ht="31.5" outlineLevel="2" x14ac:dyDescent="0.25">
      <c r="A8" s="5" t="s">
        <v>11</v>
      </c>
      <c r="B8" s="194" t="s">
        <v>12</v>
      </c>
      <c r="C8" s="137"/>
      <c r="D8" s="36">
        <v>258.39999999999998</v>
      </c>
      <c r="E8" s="379">
        <v>139.6</v>
      </c>
      <c r="F8" s="176">
        <v>1</v>
      </c>
      <c r="G8" s="176"/>
      <c r="H8" s="176">
        <f>646.3+40.9</f>
        <v>687.19999999999993</v>
      </c>
      <c r="I8" s="176">
        <f>-119.9+31</f>
        <v>-88.9</v>
      </c>
      <c r="J8" s="176">
        <v>4.9000000000000004</v>
      </c>
      <c r="K8" s="176"/>
      <c r="L8" s="176">
        <v>0.5</v>
      </c>
      <c r="M8" s="176"/>
      <c r="N8" s="176"/>
      <c r="O8" s="176">
        <v>-5.0999999999999996</v>
      </c>
      <c r="P8" s="176">
        <f>-19.4-12.8</f>
        <v>-32.200000000000003</v>
      </c>
      <c r="Q8" s="176"/>
      <c r="R8" s="174">
        <f t="shared" si="0"/>
        <v>567.39999999999986</v>
      </c>
      <c r="S8" s="324">
        <v>2446.6</v>
      </c>
      <c r="T8" s="335"/>
      <c r="U8" s="335"/>
      <c r="V8" s="335">
        <f>966.4+66.5+3.7</f>
        <v>1036.6000000000001</v>
      </c>
      <c r="W8" s="335">
        <v>16.5</v>
      </c>
      <c r="X8" s="335">
        <v>10.8</v>
      </c>
      <c r="Y8" s="335"/>
      <c r="Z8" s="335">
        <v>1381.9</v>
      </c>
      <c r="AA8" s="335">
        <v>0.1</v>
      </c>
      <c r="AB8" s="335">
        <v>0.1</v>
      </c>
      <c r="AC8" s="335">
        <v>0.6</v>
      </c>
      <c r="AD8" s="335"/>
      <c r="AE8" s="335"/>
      <c r="AF8" s="346">
        <f t="shared" si="1"/>
        <v>2446.6</v>
      </c>
    </row>
    <row r="9" spans="1:32" s="14" customFormat="1" ht="32.25" customHeight="1" outlineLevel="2" x14ac:dyDescent="0.25">
      <c r="A9" s="5" t="s">
        <v>13</v>
      </c>
      <c r="B9" s="194" t="s">
        <v>224</v>
      </c>
      <c r="C9" s="137"/>
      <c r="D9" s="36">
        <v>2749.1</v>
      </c>
      <c r="E9" s="379">
        <v>2371.4</v>
      </c>
      <c r="F9" s="176">
        <v>-13.6</v>
      </c>
      <c r="G9" s="176">
        <v>-147.9</v>
      </c>
      <c r="H9" s="176">
        <f>18.8+46.9-0.1</f>
        <v>65.600000000000009</v>
      </c>
      <c r="I9" s="176">
        <f>1095.1-0.1-36.1</f>
        <v>1058.9000000000001</v>
      </c>
      <c r="J9" s="176">
        <v>3.2</v>
      </c>
      <c r="K9" s="176">
        <f>2.7+44.1</f>
        <v>46.800000000000004</v>
      </c>
      <c r="L9" s="176">
        <f>4.9+100.4+13.1</f>
        <v>118.4</v>
      </c>
      <c r="M9" s="176">
        <v>42.3</v>
      </c>
      <c r="N9" s="176">
        <v>10</v>
      </c>
      <c r="O9" s="176">
        <f>-92.3+20.1+9.4</f>
        <v>-62.79999999999999</v>
      </c>
      <c r="P9" s="176">
        <f>4-59.6+7.9</f>
        <v>-47.7</v>
      </c>
      <c r="Q9" s="176">
        <f>-500-123-8.6-1.4-1.5</f>
        <v>-634.5</v>
      </c>
      <c r="R9" s="174">
        <f t="shared" si="0"/>
        <v>438.70000000000005</v>
      </c>
      <c r="S9" s="324">
        <v>3292.3</v>
      </c>
      <c r="T9" s="335">
        <f>22.4+2158.7</f>
        <v>2181.1</v>
      </c>
      <c r="U9" s="335">
        <v>11.4</v>
      </c>
      <c r="V9" s="335">
        <v>-7.1</v>
      </c>
      <c r="W9" s="335">
        <f>1039.1-4.8</f>
        <v>1034.3</v>
      </c>
      <c r="X9" s="335">
        <v>27</v>
      </c>
      <c r="Y9" s="335">
        <v>-5.2</v>
      </c>
      <c r="Z9" s="335">
        <f>27.5+10.3+13.6</f>
        <v>51.4</v>
      </c>
      <c r="AA9" s="335">
        <v>4.9000000000000004</v>
      </c>
      <c r="AB9" s="335">
        <f>3.9-25+0.2</f>
        <v>-20.900000000000002</v>
      </c>
      <c r="AC9" s="335">
        <v>23.6</v>
      </c>
      <c r="AD9" s="335">
        <v>0</v>
      </c>
      <c r="AE9" s="335">
        <f>-27.6-17</f>
        <v>-44.6</v>
      </c>
      <c r="AF9" s="346">
        <f t="shared" si="1"/>
        <v>3255.9</v>
      </c>
    </row>
    <row r="10" spans="1:32" s="14" customFormat="1" ht="31.5" outlineLevel="2" x14ac:dyDescent="0.25">
      <c r="A10" s="5" t="s">
        <v>14</v>
      </c>
      <c r="B10" s="194" t="s">
        <v>15</v>
      </c>
      <c r="C10" s="137"/>
      <c r="D10" s="36">
        <v>6346.4</v>
      </c>
      <c r="E10" s="379">
        <v>8501.2999999999993</v>
      </c>
      <c r="F10" s="176">
        <v>398</v>
      </c>
      <c r="G10" s="176">
        <v>-60.9</v>
      </c>
      <c r="H10" s="176">
        <f>35.3+130.2+3.3</f>
        <v>168.8</v>
      </c>
      <c r="I10" s="176">
        <f>29.6-38+0.4</f>
        <v>-7.9999999999999982</v>
      </c>
      <c r="J10" s="176">
        <v>45.5</v>
      </c>
      <c r="K10" s="176">
        <f>0.3+9.9</f>
        <v>10.200000000000001</v>
      </c>
      <c r="L10" s="176">
        <f>1.4+157.9+3.2+0.8</f>
        <v>163.30000000000001</v>
      </c>
      <c r="M10" s="176">
        <v>71.900000000000006</v>
      </c>
      <c r="N10" s="176">
        <f>19.5+116.2</f>
        <v>135.69999999999999</v>
      </c>
      <c r="O10" s="176">
        <f>646.2+2421.4+147.8+102.5</f>
        <v>3317.9000000000005</v>
      </c>
      <c r="P10" s="176">
        <f>65.7+2213.6+154.7</f>
        <v>2433.9999999999995</v>
      </c>
      <c r="Q10" s="176">
        <f>116.8+1071.1-15.2+4.1+5.5+25.1+5.2+7.2</f>
        <v>1219.7999999999997</v>
      </c>
      <c r="R10" s="174">
        <f t="shared" si="0"/>
        <v>7896.1999999999989</v>
      </c>
      <c r="S10" s="324">
        <v>9874.7000000000007</v>
      </c>
      <c r="T10" s="335">
        <f>3.5+528.8</f>
        <v>532.29999999999995</v>
      </c>
      <c r="U10" s="335">
        <f>1.4+203.3</f>
        <v>204.70000000000002</v>
      </c>
      <c r="V10" s="335">
        <f>49.4-15.4</f>
        <v>34</v>
      </c>
      <c r="W10" s="335">
        <f>2.7+109.7</f>
        <v>112.4</v>
      </c>
      <c r="X10" s="335">
        <f>1.1+148.9</f>
        <v>150</v>
      </c>
      <c r="Y10" s="335">
        <v>33.1</v>
      </c>
      <c r="Z10" s="335">
        <f>-29.7+0.5</f>
        <v>-29.2</v>
      </c>
      <c r="AA10" s="335">
        <v>56.2</v>
      </c>
      <c r="AB10" s="335">
        <f>27.1+201.3+1153.2+163.1</f>
        <v>1544.7</v>
      </c>
      <c r="AC10" s="335">
        <v>1688.7</v>
      </c>
      <c r="AD10" s="335">
        <f>40.3+2785.2</f>
        <v>2825.5</v>
      </c>
      <c r="AE10" s="335">
        <f>15.3+1237+13.6+26.4+5.9+13.9+0.1+63.5</f>
        <v>1375.7</v>
      </c>
      <c r="AF10" s="346">
        <f t="shared" si="1"/>
        <v>8528.1</v>
      </c>
    </row>
    <row r="11" spans="1:32" s="14" customFormat="1" ht="22.5" outlineLevel="3" x14ac:dyDescent="0.25">
      <c r="A11" s="5" t="s">
        <v>16</v>
      </c>
      <c r="B11" s="194" t="s">
        <v>17</v>
      </c>
      <c r="C11" s="137"/>
      <c r="D11" s="36">
        <v>16585.7</v>
      </c>
      <c r="E11" s="379">
        <v>15650.2</v>
      </c>
      <c r="F11" s="176">
        <v>12.4</v>
      </c>
      <c r="G11" s="176">
        <v>-0.1</v>
      </c>
      <c r="H11" s="176">
        <f>18.7+3921.2</f>
        <v>3939.8999999999996</v>
      </c>
      <c r="I11" s="176">
        <f>2381.3+120.1+216.7</f>
        <v>2718.1</v>
      </c>
      <c r="J11" s="176">
        <v>96.4</v>
      </c>
      <c r="K11" s="176">
        <f>186.1-17.7</f>
        <v>168.4</v>
      </c>
      <c r="L11" s="176">
        <f>4.4+92.9+548.9+174.9</f>
        <v>821.1</v>
      </c>
      <c r="M11" s="176">
        <v>194.4</v>
      </c>
      <c r="N11" s="176">
        <f>42.1-1893.7</f>
        <v>-1851.6000000000001</v>
      </c>
      <c r="O11" s="176">
        <f>-411.8-9599-5909.7-878.5</f>
        <v>-16799</v>
      </c>
      <c r="P11" s="176">
        <f>-5206.1-228.1+18.6</f>
        <v>-5415.6</v>
      </c>
      <c r="Q11" s="176">
        <f>4+629.6</f>
        <v>633.6</v>
      </c>
      <c r="R11" s="174">
        <f t="shared" si="0"/>
        <v>-15482.000000000002</v>
      </c>
      <c r="S11" s="324">
        <v>6631.9</v>
      </c>
      <c r="T11" s="336">
        <v>9</v>
      </c>
      <c r="U11" s="336">
        <f>998.2-10.8+240</f>
        <v>1227.4000000000001</v>
      </c>
      <c r="V11" s="336">
        <f>44.2+73.3</f>
        <v>117.5</v>
      </c>
      <c r="W11" s="336">
        <v>-31.7</v>
      </c>
      <c r="X11" s="335">
        <v>831.9</v>
      </c>
      <c r="Y11" s="336">
        <v>-221.1</v>
      </c>
      <c r="Z11" s="336">
        <f>1568.6+2.3</f>
        <v>1570.8999999999999</v>
      </c>
      <c r="AA11" s="335">
        <v>173.4</v>
      </c>
      <c r="AB11" s="336">
        <f>4+7.4</f>
        <v>11.4</v>
      </c>
      <c r="AC11" s="335">
        <v>1653.6</v>
      </c>
      <c r="AD11" s="335">
        <v>20.3</v>
      </c>
      <c r="AE11" s="335">
        <f>14.4+22.6+0.4</f>
        <v>37.4</v>
      </c>
      <c r="AF11" s="346">
        <f>T11+U11+V11+W11+X11+Y11+Z11+AA11+AB11+AE11+AD11+AC11</f>
        <v>5400</v>
      </c>
    </row>
    <row r="12" spans="1:32" s="14" customFormat="1" ht="22.5" outlineLevel="3" x14ac:dyDescent="0.25">
      <c r="A12" s="5" t="s">
        <v>18</v>
      </c>
      <c r="B12" s="194" t="s">
        <v>19</v>
      </c>
      <c r="C12" s="137"/>
      <c r="D12" s="36">
        <v>11455</v>
      </c>
      <c r="E12" s="379">
        <v>11687.7</v>
      </c>
      <c r="F12" s="176">
        <v>-151.30000000000001</v>
      </c>
      <c r="G12" s="176">
        <v>-45</v>
      </c>
      <c r="H12" s="176">
        <f>37.9+365.3+4.8</f>
        <v>408</v>
      </c>
      <c r="I12" s="176">
        <f>11.9+30+2.7</f>
        <v>44.6</v>
      </c>
      <c r="J12" s="176">
        <v>76.099999999999994</v>
      </c>
      <c r="K12" s="176">
        <f>63.2+1.9</f>
        <v>65.100000000000009</v>
      </c>
      <c r="L12" s="176">
        <f>4.5+89.5+2.2+2.6</f>
        <v>98.8</v>
      </c>
      <c r="M12" s="176">
        <v>96.1</v>
      </c>
      <c r="N12" s="176">
        <f>90.8+1131.4</f>
        <v>1222.2</v>
      </c>
      <c r="O12" s="176">
        <f>614.9+3295.2+223+126.2</f>
        <v>4259.3</v>
      </c>
      <c r="P12" s="176">
        <f>194.6+3665.9+180.2</f>
        <v>4040.7</v>
      </c>
      <c r="Q12" s="176">
        <f>87.2+1249.2+26.9+9.2+39.7+18.2+44.7+22</f>
        <v>1497.1000000000004</v>
      </c>
      <c r="R12" s="174">
        <f t="shared" si="0"/>
        <v>11611.699999999999</v>
      </c>
      <c r="S12" s="324">
        <v>13838</v>
      </c>
      <c r="T12" s="336">
        <f>7.2+232</f>
        <v>239.2</v>
      </c>
      <c r="U12" s="336">
        <f>0.9+207.3+11.9</f>
        <v>220.10000000000002</v>
      </c>
      <c r="V12" s="336">
        <f>176.5-4.7</f>
        <v>171.8</v>
      </c>
      <c r="W12" s="336">
        <v>161.5</v>
      </c>
      <c r="X12" s="335">
        <f>1.1+91.7+7.7</f>
        <v>100.5</v>
      </c>
      <c r="Y12" s="336">
        <v>218.3</v>
      </c>
      <c r="Z12" s="336">
        <f>176.9+1.7</f>
        <v>178.6</v>
      </c>
      <c r="AA12" s="335">
        <v>135.4</v>
      </c>
      <c r="AB12" s="336">
        <f>114.9+590.5+664.7+283.4</f>
        <v>1653.5</v>
      </c>
      <c r="AC12" s="335">
        <v>3206</v>
      </c>
      <c r="AD12" s="335">
        <f>149.9+3664.8</f>
        <v>3814.7000000000003</v>
      </c>
      <c r="AE12" s="335">
        <f>39.1+1598.4+38.3+71.2+40.6+18.4+23.5</f>
        <v>1829.5</v>
      </c>
      <c r="AF12" s="346">
        <f>T12+U12+V12+W12+X12+Y12+Z12+AA12+AB12+AE12+AD12+AC12</f>
        <v>11929.1</v>
      </c>
    </row>
    <row r="13" spans="1:32" s="14" customFormat="1" ht="22.5" outlineLevel="1" x14ac:dyDescent="0.25">
      <c r="A13" s="5" t="s">
        <v>20</v>
      </c>
      <c r="B13" s="195" t="s">
        <v>105</v>
      </c>
      <c r="C13" s="137"/>
      <c r="D13" s="36">
        <v>1751.3</v>
      </c>
      <c r="E13" s="380">
        <v>1955.1</v>
      </c>
      <c r="F13" s="176">
        <v>87.8</v>
      </c>
      <c r="G13" s="176">
        <v>131.19999999999999</v>
      </c>
      <c r="H13" s="176">
        <f>10.9+121.7+6.9+0.1</f>
        <v>139.6</v>
      </c>
      <c r="I13" s="176">
        <f>2.5+88.8+11.9+7.8+12.6</f>
        <v>123.6</v>
      </c>
      <c r="J13" s="176">
        <v>176.8</v>
      </c>
      <c r="K13" s="176">
        <f>1.8+103.9+13.3-1.8</f>
        <v>117.2</v>
      </c>
      <c r="L13" s="176">
        <f>2.9+143.6+4.7+8.7</f>
        <v>159.89999999999998</v>
      </c>
      <c r="M13" s="176">
        <v>165.5</v>
      </c>
      <c r="N13" s="176">
        <f>13.3+130.6</f>
        <v>143.9</v>
      </c>
      <c r="O13" s="176">
        <f>3.5+104.6+5+22.5</f>
        <v>135.6</v>
      </c>
      <c r="P13" s="176">
        <f>8.3+142.9+7.1</f>
        <v>158.30000000000001</v>
      </c>
      <c r="Q13" s="176">
        <f>7.6+120.7+11.5+2.8+8.5+1.7+4.7+10.7</f>
        <v>168.2</v>
      </c>
      <c r="R13" s="174">
        <f t="shared" si="0"/>
        <v>1707.6</v>
      </c>
      <c r="S13" s="324">
        <v>3111.6</v>
      </c>
      <c r="T13" s="335">
        <f>2.9+150.3+1.5</f>
        <v>154.70000000000002</v>
      </c>
      <c r="U13" s="335">
        <f>2.9+108.3+9.1</f>
        <v>120.3</v>
      </c>
      <c r="V13" s="335">
        <f>1.9+126.2+3.7</f>
        <v>131.79999999999998</v>
      </c>
      <c r="W13" s="335">
        <f>4+275</f>
        <v>279</v>
      </c>
      <c r="X13" s="335">
        <f>1+196.7+10.7+8.3+0.2</f>
        <v>216.89999999999998</v>
      </c>
      <c r="Y13" s="335">
        <f>141.8+0.4</f>
        <v>142.20000000000002</v>
      </c>
      <c r="Z13" s="335">
        <f>322.7+22.6</f>
        <v>345.3</v>
      </c>
      <c r="AA13" s="335">
        <v>301.5</v>
      </c>
      <c r="AB13" s="335">
        <f>16.4+250.2+26.9+0.1+27+0.6+4</f>
        <v>325.2</v>
      </c>
      <c r="AC13" s="335">
        <v>313.2</v>
      </c>
      <c r="AD13" s="335">
        <f>4+429.9</f>
        <v>433.9</v>
      </c>
      <c r="AE13" s="335">
        <f>20.2+414.2+16.9+0.2+5.5+1.3</f>
        <v>458.29999999999995</v>
      </c>
      <c r="AF13" s="346">
        <f>T13+U13+V13+W13+X13+Y13+Z13+AA13+AB13+AE13+AD13+AC13</f>
        <v>3222.2999999999997</v>
      </c>
    </row>
    <row r="14" spans="1:32" s="14" customFormat="1" ht="22.5" customHeight="1" outlineLevel="1" x14ac:dyDescent="0.25">
      <c r="A14" s="5"/>
      <c r="B14" s="286" t="s">
        <v>145</v>
      </c>
      <c r="C14" s="287"/>
      <c r="D14" s="288">
        <f t="shared" ref="D14:AF14" si="2">SUM(D4:D13)</f>
        <v>230922.19999999998</v>
      </c>
      <c r="E14" s="288">
        <f t="shared" si="2"/>
        <v>266897.7</v>
      </c>
      <c r="F14" s="236">
        <f t="shared" si="2"/>
        <v>7427.2999999999993</v>
      </c>
      <c r="G14" s="236">
        <f t="shared" si="2"/>
        <v>-332.90000000000003</v>
      </c>
      <c r="H14" s="236">
        <f t="shared" si="2"/>
        <v>34165.299999999996</v>
      </c>
      <c r="I14" s="236">
        <f t="shared" si="2"/>
        <v>28886.899999999998</v>
      </c>
      <c r="J14" s="236">
        <f t="shared" si="2"/>
        <v>19697.800000000003</v>
      </c>
      <c r="K14" s="236">
        <f t="shared" si="2"/>
        <v>22924.799999999996</v>
      </c>
      <c r="L14" s="236">
        <f t="shared" si="2"/>
        <v>24581.200000000001</v>
      </c>
      <c r="M14" s="236">
        <f t="shared" si="2"/>
        <v>20902.900000000001</v>
      </c>
      <c r="N14" s="236">
        <f t="shared" si="2"/>
        <v>19647.300000000003</v>
      </c>
      <c r="O14" s="236">
        <f t="shared" si="2"/>
        <v>12059.700000000003</v>
      </c>
      <c r="P14" s="236">
        <f t="shared" si="2"/>
        <v>20483.499999999996</v>
      </c>
      <c r="Q14" s="236">
        <f t="shared" si="2"/>
        <v>44497.4</v>
      </c>
      <c r="R14" s="236">
        <f t="shared" si="2"/>
        <v>254941.20000000004</v>
      </c>
      <c r="S14" s="236">
        <f t="shared" si="2"/>
        <v>298478.80000000005</v>
      </c>
      <c r="T14" s="236">
        <f t="shared" si="2"/>
        <v>11915.500000000002</v>
      </c>
      <c r="U14" s="236">
        <f t="shared" si="2"/>
        <v>19277.199999999997</v>
      </c>
      <c r="V14" s="236">
        <f t="shared" si="2"/>
        <v>20316.2</v>
      </c>
      <c r="W14" s="236">
        <f t="shared" si="2"/>
        <v>17514</v>
      </c>
      <c r="X14" s="236">
        <f t="shared" si="2"/>
        <v>30469.200000000004</v>
      </c>
      <c r="Y14" s="236">
        <f t="shared" si="2"/>
        <v>27346.400000000001</v>
      </c>
      <c r="Z14" s="236">
        <f t="shared" si="2"/>
        <v>34257.600000000006</v>
      </c>
      <c r="AA14" s="236">
        <f t="shared" si="2"/>
        <v>21190.400000000005</v>
      </c>
      <c r="AB14" s="236">
        <f t="shared" si="2"/>
        <v>23575.5</v>
      </c>
      <c r="AC14" s="236">
        <f t="shared" si="2"/>
        <v>36328.899999999994</v>
      </c>
      <c r="AD14" s="236">
        <f t="shared" si="2"/>
        <v>30452.2</v>
      </c>
      <c r="AE14" s="236">
        <f t="shared" si="2"/>
        <v>47959.900000000016</v>
      </c>
      <c r="AF14" s="236">
        <f t="shared" si="2"/>
        <v>320603</v>
      </c>
    </row>
    <row r="15" spans="1:32" s="14" customFormat="1" ht="21" customHeight="1" outlineLevel="2" x14ac:dyDescent="0.25">
      <c r="A15" s="5" t="s">
        <v>21</v>
      </c>
      <c r="B15" s="196" t="s">
        <v>106</v>
      </c>
      <c r="C15" s="137"/>
      <c r="D15" s="36">
        <v>78</v>
      </c>
      <c r="E15" s="381">
        <v>143.9</v>
      </c>
      <c r="F15" s="176">
        <v>0</v>
      </c>
      <c r="G15" s="176"/>
      <c r="H15" s="176">
        <v>124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4">
        <f t="shared" ref="R15:R29" si="3">F15+G15+H15+I15+J15+K15+L15+M15+N15+O15+P15+Q15</f>
        <v>124</v>
      </c>
      <c r="S15" s="324">
        <v>124</v>
      </c>
      <c r="T15" s="350"/>
      <c r="U15" s="350"/>
      <c r="V15" s="351"/>
      <c r="W15" s="351"/>
      <c r="X15" s="351">
        <v>124</v>
      </c>
      <c r="Y15" s="351"/>
      <c r="Z15" s="350"/>
      <c r="AA15" s="351"/>
      <c r="AB15" s="350"/>
      <c r="AC15" s="350"/>
      <c r="AD15" s="351"/>
      <c r="AE15" s="350"/>
      <c r="AF15" s="346">
        <f t="shared" ref="AF15:AF29" si="4">T15+U15+V15+W15+X15+Y15+Z15+AA15+AB15+AE15+AD15+AC15</f>
        <v>124</v>
      </c>
    </row>
    <row r="16" spans="1:32" s="14" customFormat="1" ht="30.75" customHeight="1" outlineLevel="2" x14ac:dyDescent="0.25">
      <c r="A16" s="5"/>
      <c r="B16" s="241" t="s">
        <v>364</v>
      </c>
      <c r="C16" s="137"/>
      <c r="D16" s="36"/>
      <c r="E16" s="381"/>
      <c r="F16" s="176">
        <v>0</v>
      </c>
      <c r="G16" s="176">
        <v>0.2</v>
      </c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4">
        <f t="shared" si="3"/>
        <v>0.2</v>
      </c>
      <c r="S16" s="324">
        <v>0</v>
      </c>
      <c r="T16" s="350"/>
      <c r="U16" s="350"/>
      <c r="V16" s="351"/>
      <c r="W16" s="351"/>
      <c r="X16" s="351"/>
      <c r="Y16" s="351"/>
      <c r="Z16" s="350"/>
      <c r="AA16" s="351"/>
      <c r="AB16" s="350"/>
      <c r="AC16" s="350"/>
      <c r="AD16" s="351"/>
      <c r="AE16" s="350"/>
      <c r="AF16" s="346">
        <f t="shared" si="4"/>
        <v>0</v>
      </c>
    </row>
    <row r="17" spans="1:32" s="14" customFormat="1" ht="18" customHeight="1" outlineLevel="3" x14ac:dyDescent="0.25">
      <c r="A17" s="5" t="s">
        <v>22</v>
      </c>
      <c r="B17" s="195" t="s">
        <v>347</v>
      </c>
      <c r="C17" s="137"/>
      <c r="D17" s="36">
        <v>3552.6</v>
      </c>
      <c r="E17" s="379">
        <v>3723.9</v>
      </c>
      <c r="F17" s="176">
        <v>126.9</v>
      </c>
      <c r="G17" s="176">
        <v>848.2</v>
      </c>
      <c r="H17" s="176">
        <v>353.3</v>
      </c>
      <c r="I17" s="176">
        <f>5.5+426.3+27</f>
        <v>458.8</v>
      </c>
      <c r="J17" s="176">
        <v>180.2</v>
      </c>
      <c r="K17" s="176">
        <v>162.80000000000001</v>
      </c>
      <c r="L17" s="176">
        <f>10.3+182.2</f>
        <v>192.5</v>
      </c>
      <c r="M17" s="176">
        <v>190.2</v>
      </c>
      <c r="N17" s="176">
        <v>225.6</v>
      </c>
      <c r="O17" s="176">
        <v>213.7</v>
      </c>
      <c r="P17" s="176">
        <f>4.7+293.1+7.1-4.2</f>
        <v>300.70000000000005</v>
      </c>
      <c r="Q17" s="176">
        <f>341.6-6.3+245.7+1</f>
        <v>582</v>
      </c>
      <c r="R17" s="174">
        <f t="shared" si="3"/>
        <v>3834.8999999999996</v>
      </c>
      <c r="S17" s="324">
        <v>4275.2</v>
      </c>
      <c r="T17" s="351">
        <v>181.9</v>
      </c>
      <c r="U17" s="351">
        <v>281.2</v>
      </c>
      <c r="V17" s="351">
        <v>260.5</v>
      </c>
      <c r="W17" s="351">
        <v>251.4</v>
      </c>
      <c r="X17" s="351">
        <f>245.2+3.3</f>
        <v>248.5</v>
      </c>
      <c r="Y17" s="351">
        <v>538.70000000000005</v>
      </c>
      <c r="Z17" s="351">
        <v>264.89999999999998</v>
      </c>
      <c r="AA17" s="351">
        <v>289.8</v>
      </c>
      <c r="AB17" s="351">
        <f>6.2+319+2.6</f>
        <v>327.8</v>
      </c>
      <c r="AC17" s="351">
        <v>298.39999999999998</v>
      </c>
      <c r="AD17" s="351">
        <f>6.3+276.8</f>
        <v>283.10000000000002</v>
      </c>
      <c r="AE17" s="351">
        <f>23.8+935.7+6.2</f>
        <v>965.7</v>
      </c>
      <c r="AF17" s="346">
        <f t="shared" si="4"/>
        <v>4191.9000000000005</v>
      </c>
    </row>
    <row r="18" spans="1:32" s="14" customFormat="1" ht="23.25" customHeight="1" outlineLevel="3" x14ac:dyDescent="0.25">
      <c r="A18" s="5" t="s">
        <v>23</v>
      </c>
      <c r="B18" s="195" t="s">
        <v>107</v>
      </c>
      <c r="C18" s="137"/>
      <c r="D18" s="36">
        <v>1291.0999999999999</v>
      </c>
      <c r="E18" s="379">
        <v>1275.2</v>
      </c>
      <c r="F18" s="176">
        <f>10+99.6</f>
        <v>109.6</v>
      </c>
      <c r="G18" s="176">
        <v>137</v>
      </c>
      <c r="H18" s="176">
        <v>151.19999999999999</v>
      </c>
      <c r="I18" s="176">
        <v>566.70000000000005</v>
      </c>
      <c r="J18" s="176">
        <v>134.6</v>
      </c>
      <c r="K18" s="176">
        <v>159.4</v>
      </c>
      <c r="L18" s="176">
        <v>114.2</v>
      </c>
      <c r="M18" s="176">
        <v>114.8</v>
      </c>
      <c r="N18" s="176">
        <v>96.9</v>
      </c>
      <c r="O18" s="176">
        <v>95.5</v>
      </c>
      <c r="P18" s="176">
        <v>89.2</v>
      </c>
      <c r="Q18" s="176">
        <f>7.9+208</f>
        <v>215.9</v>
      </c>
      <c r="R18" s="174">
        <f t="shared" si="3"/>
        <v>1985.0000000000002</v>
      </c>
      <c r="S18" s="324">
        <v>1521.6</v>
      </c>
      <c r="T18" s="351">
        <f>2.4+164.8</f>
        <v>167.20000000000002</v>
      </c>
      <c r="U18" s="351">
        <v>118.2</v>
      </c>
      <c r="V18" s="351">
        <v>107.1</v>
      </c>
      <c r="W18" s="351">
        <v>110.5</v>
      </c>
      <c r="X18" s="351">
        <v>103.1</v>
      </c>
      <c r="Y18" s="351">
        <v>185.7</v>
      </c>
      <c r="Z18" s="351">
        <v>107.9</v>
      </c>
      <c r="AA18" s="351">
        <v>135.5</v>
      </c>
      <c r="AB18" s="351">
        <f>3.2+109.3</f>
        <v>112.5</v>
      </c>
      <c r="AC18" s="351">
        <v>125</v>
      </c>
      <c r="AD18" s="351">
        <f>2.5+117.5</f>
        <v>120</v>
      </c>
      <c r="AE18" s="351">
        <f>3+98.1+3+10.9+13.9</f>
        <v>128.9</v>
      </c>
      <c r="AF18" s="346">
        <f t="shared" si="4"/>
        <v>1521.6</v>
      </c>
    </row>
    <row r="19" spans="1:32" s="14" customFormat="1" ht="34.5" customHeight="1" outlineLevel="2" x14ac:dyDescent="0.25">
      <c r="A19" s="5" t="s">
        <v>24</v>
      </c>
      <c r="B19" s="194" t="s">
        <v>25</v>
      </c>
      <c r="C19" s="137"/>
      <c r="D19" s="36">
        <v>23.7</v>
      </c>
      <c r="E19" s="379">
        <v>458.3</v>
      </c>
      <c r="F19" s="176"/>
      <c r="G19" s="176">
        <v>12.5</v>
      </c>
      <c r="H19" s="176">
        <f>524+224.3</f>
        <v>748.3</v>
      </c>
      <c r="I19" s="176">
        <f>0.7+337.5</f>
        <v>338.2</v>
      </c>
      <c r="J19" s="176">
        <v>0</v>
      </c>
      <c r="K19" s="176">
        <v>0.8</v>
      </c>
      <c r="L19" s="176">
        <f>0.4+57+158.9</f>
        <v>216.3</v>
      </c>
      <c r="M19" s="176"/>
      <c r="N19" s="176"/>
      <c r="O19" s="176">
        <v>216.3</v>
      </c>
      <c r="P19" s="176">
        <v>1.3</v>
      </c>
      <c r="Q19" s="176">
        <v>0.1</v>
      </c>
      <c r="R19" s="174">
        <f t="shared" si="3"/>
        <v>1533.7999999999997</v>
      </c>
      <c r="S19" s="324">
        <v>820</v>
      </c>
      <c r="T19" s="351">
        <v>19.100000000000001</v>
      </c>
      <c r="U19" s="351">
        <v>98</v>
      </c>
      <c r="V19" s="351">
        <v>144</v>
      </c>
      <c r="W19" s="351">
        <v>1.1000000000000001</v>
      </c>
      <c r="X19" s="351">
        <v>185.4</v>
      </c>
      <c r="Y19" s="351">
        <v>0.8</v>
      </c>
      <c r="Z19" s="351">
        <v>185.8</v>
      </c>
      <c r="AA19" s="351"/>
      <c r="AB19" s="351"/>
      <c r="AC19" s="351">
        <v>185.8</v>
      </c>
      <c r="AD19" s="351"/>
      <c r="AE19" s="351"/>
      <c r="AF19" s="346">
        <f t="shared" si="4"/>
        <v>820</v>
      </c>
    </row>
    <row r="20" spans="1:32" s="14" customFormat="1" ht="37.5" customHeight="1" outlineLevel="2" x14ac:dyDescent="0.25">
      <c r="A20" s="5" t="s">
        <v>26</v>
      </c>
      <c r="B20" s="194" t="s">
        <v>469</v>
      </c>
      <c r="C20" s="137"/>
      <c r="D20" s="36">
        <v>379.5</v>
      </c>
      <c r="E20" s="379">
        <v>424.1</v>
      </c>
      <c r="F20" s="176">
        <v>0</v>
      </c>
      <c r="G20" s="176">
        <f>5.1+4.8</f>
        <v>9.8999999999999986</v>
      </c>
      <c r="H20" s="176"/>
      <c r="I20" s="176">
        <v>81.099999999999994</v>
      </c>
      <c r="J20" s="176">
        <v>6.1</v>
      </c>
      <c r="K20" s="176">
        <v>43.5</v>
      </c>
      <c r="L20" s="176">
        <v>4.7</v>
      </c>
      <c r="M20" s="176">
        <v>43.1</v>
      </c>
      <c r="N20" s="176"/>
      <c r="O20" s="176"/>
      <c r="P20" s="176">
        <v>109.1</v>
      </c>
      <c r="Q20" s="176">
        <f>45.1+0.7+57.1+20.4</f>
        <v>123.30000000000001</v>
      </c>
      <c r="R20" s="174">
        <f t="shared" si="3"/>
        <v>420.8</v>
      </c>
      <c r="S20" s="324">
        <v>423.2</v>
      </c>
      <c r="T20" s="351">
        <v>3.9</v>
      </c>
      <c r="U20" s="351">
        <v>2.4</v>
      </c>
      <c r="V20" s="351"/>
      <c r="W20" s="351"/>
      <c r="X20" s="351">
        <v>88.9</v>
      </c>
      <c r="Y20" s="351"/>
      <c r="Z20" s="351">
        <v>6</v>
      </c>
      <c r="AA20" s="351">
        <v>51.1</v>
      </c>
      <c r="AB20" s="351">
        <v>50.2</v>
      </c>
      <c r="AC20" s="351">
        <v>15.4</v>
      </c>
      <c r="AD20" s="351">
        <v>99.4</v>
      </c>
      <c r="AE20" s="351">
        <f>64.4+37.4</f>
        <v>101.80000000000001</v>
      </c>
      <c r="AF20" s="346">
        <f t="shared" si="4"/>
        <v>419.1</v>
      </c>
    </row>
    <row r="21" spans="1:32" s="14" customFormat="1" ht="52.5" customHeight="1" outlineLevel="2" x14ac:dyDescent="0.25">
      <c r="A21" s="5"/>
      <c r="B21" s="194" t="s">
        <v>552</v>
      </c>
      <c r="C21" s="137"/>
      <c r="D21" s="36">
        <v>4806.3</v>
      </c>
      <c r="E21" s="379">
        <v>156</v>
      </c>
      <c r="F21" s="176">
        <v>0</v>
      </c>
      <c r="G21" s="176"/>
      <c r="H21" s="176">
        <v>11.8</v>
      </c>
      <c r="I21" s="176"/>
      <c r="J21" s="176"/>
      <c r="K21" s="176"/>
      <c r="L21" s="176">
        <v>451.5</v>
      </c>
      <c r="M21" s="176"/>
      <c r="N21" s="176">
        <f>1032.9-0.7</f>
        <v>1032.2</v>
      </c>
      <c r="O21" s="176"/>
      <c r="P21" s="176"/>
      <c r="Q21" s="176"/>
      <c r="R21" s="174">
        <f t="shared" si="3"/>
        <v>1495.5</v>
      </c>
      <c r="S21" s="324">
        <v>57.8</v>
      </c>
      <c r="T21" s="351">
        <v>45.9</v>
      </c>
      <c r="U21" s="351"/>
      <c r="V21" s="351"/>
      <c r="W21" s="351"/>
      <c r="X21" s="351">
        <v>3.9</v>
      </c>
      <c r="Y21" s="351"/>
      <c r="Z21" s="351"/>
      <c r="AA21" s="351"/>
      <c r="AB21" s="351">
        <v>106.9</v>
      </c>
      <c r="AC21" s="351">
        <f>-107+8</f>
        <v>-99</v>
      </c>
      <c r="AD21" s="351"/>
      <c r="AE21" s="351"/>
      <c r="AF21" s="346">
        <v>57.8</v>
      </c>
    </row>
    <row r="22" spans="1:32" s="14" customFormat="1" ht="31.5" customHeight="1" outlineLevel="2" x14ac:dyDescent="0.25">
      <c r="A22" s="5"/>
      <c r="B22" s="194" t="s">
        <v>369</v>
      </c>
      <c r="C22" s="137"/>
      <c r="D22" s="36">
        <v>6</v>
      </c>
      <c r="E22" s="379">
        <v>513.1</v>
      </c>
      <c r="F22" s="176">
        <v>6.9</v>
      </c>
      <c r="G22" s="176">
        <v>6.2</v>
      </c>
      <c r="H22" s="176">
        <v>6.4</v>
      </c>
      <c r="I22" s="176">
        <v>8.3000000000000007</v>
      </c>
      <c r="J22" s="176">
        <v>13.3</v>
      </c>
      <c r="K22" s="176"/>
      <c r="L22" s="176">
        <v>2.6</v>
      </c>
      <c r="M22" s="176">
        <v>0.2</v>
      </c>
      <c r="N22" s="176">
        <v>0.6</v>
      </c>
      <c r="O22" s="176">
        <v>7.9</v>
      </c>
      <c r="P22" s="176">
        <v>0.6</v>
      </c>
      <c r="Q22" s="176">
        <v>0.1</v>
      </c>
      <c r="R22" s="174">
        <f t="shared" si="3"/>
        <v>53.100000000000009</v>
      </c>
      <c r="S22" s="324">
        <v>138.30000000000001</v>
      </c>
      <c r="T22" s="351">
        <v>0</v>
      </c>
      <c r="U22" s="351">
        <v>0.2</v>
      </c>
      <c r="V22" s="351">
        <v>22</v>
      </c>
      <c r="W22" s="351">
        <f>11+8.1</f>
        <v>19.100000000000001</v>
      </c>
      <c r="X22" s="351">
        <v>7.2</v>
      </c>
      <c r="Y22" s="351">
        <v>12.1</v>
      </c>
      <c r="Z22" s="351">
        <v>20.399999999999999</v>
      </c>
      <c r="AA22" s="351">
        <v>11.4</v>
      </c>
      <c r="AB22" s="351">
        <v>11.4</v>
      </c>
      <c r="AC22" s="351">
        <v>11.2</v>
      </c>
      <c r="AD22" s="351">
        <v>11.2</v>
      </c>
      <c r="AE22" s="351">
        <f>0.6+11.6</f>
        <v>12.2</v>
      </c>
      <c r="AF22" s="346">
        <f t="shared" si="4"/>
        <v>138.4</v>
      </c>
    </row>
    <row r="23" spans="1:32" s="14" customFormat="1" ht="33.75" customHeight="1" outlineLevel="2" x14ac:dyDescent="0.25">
      <c r="A23" s="5" t="s">
        <v>27</v>
      </c>
      <c r="B23" s="194" t="s">
        <v>550</v>
      </c>
      <c r="C23" s="137"/>
      <c r="D23" s="36">
        <v>2685.7</v>
      </c>
      <c r="E23" s="379">
        <v>7199.5</v>
      </c>
      <c r="F23" s="176">
        <v>292.89999999999998</v>
      </c>
      <c r="G23" s="176">
        <v>373.4</v>
      </c>
      <c r="H23" s="176"/>
      <c r="I23" s="176">
        <f>32.3+825</f>
        <v>857.3</v>
      </c>
      <c r="J23" s="176">
        <v>1398.1</v>
      </c>
      <c r="K23" s="176">
        <v>183.1</v>
      </c>
      <c r="L23" s="176">
        <f>221+706.5</f>
        <v>927.5</v>
      </c>
      <c r="M23" s="176">
        <v>48.4</v>
      </c>
      <c r="N23" s="176">
        <v>589.4</v>
      </c>
      <c r="O23" s="176">
        <f>2.1+389.6+195.3</f>
        <v>587</v>
      </c>
      <c r="P23" s="176">
        <v>308.5</v>
      </c>
      <c r="Q23" s="176">
        <v>419</v>
      </c>
      <c r="R23" s="174">
        <f t="shared" si="3"/>
        <v>5984.5999999999995</v>
      </c>
      <c r="S23" s="324">
        <v>7402.3</v>
      </c>
      <c r="T23" s="351">
        <v>132.69999999999999</v>
      </c>
      <c r="U23" s="351">
        <f>29.6+44.7</f>
        <v>74.300000000000011</v>
      </c>
      <c r="V23" s="351">
        <v>59.4</v>
      </c>
      <c r="W23" s="351">
        <v>882.9</v>
      </c>
      <c r="X23" s="351">
        <v>308.39999999999998</v>
      </c>
      <c r="Y23" s="351">
        <v>1733.7</v>
      </c>
      <c r="Z23" s="351">
        <v>1395.6</v>
      </c>
      <c r="AA23" s="351">
        <v>1554.1</v>
      </c>
      <c r="AB23" s="351">
        <f>319.2+292.1</f>
        <v>611.29999999999995</v>
      </c>
      <c r="AC23" s="351">
        <f>213.3+33.2+129.3</f>
        <v>375.8</v>
      </c>
      <c r="AD23" s="351">
        <v>111.6</v>
      </c>
      <c r="AE23" s="351">
        <v>162.5</v>
      </c>
      <c r="AF23" s="346">
        <f t="shared" si="4"/>
        <v>7402.3000000000011</v>
      </c>
    </row>
    <row r="24" spans="1:32" s="14" customFormat="1" ht="33.75" customHeight="1" outlineLevel="2" x14ac:dyDescent="0.25">
      <c r="A24" s="5" t="s">
        <v>28</v>
      </c>
      <c r="B24" s="194" t="s">
        <v>424</v>
      </c>
      <c r="C24" s="137"/>
      <c r="D24" s="36">
        <v>1593</v>
      </c>
      <c r="E24" s="379">
        <v>654.79999999999995</v>
      </c>
      <c r="F24" s="176">
        <v>0</v>
      </c>
      <c r="G24" s="176"/>
      <c r="H24" s="176"/>
      <c r="I24" s="176"/>
      <c r="J24" s="176">
        <v>0</v>
      </c>
      <c r="K24" s="176">
        <f>1.6+2.4</f>
        <v>4</v>
      </c>
      <c r="L24" s="176">
        <f>232.6+50.4</f>
        <v>283</v>
      </c>
      <c r="M24" s="176">
        <v>651.6</v>
      </c>
      <c r="N24" s="176"/>
      <c r="O24" s="176">
        <v>0</v>
      </c>
      <c r="P24" s="176"/>
      <c r="Q24" s="176"/>
      <c r="R24" s="174">
        <f t="shared" si="3"/>
        <v>938.6</v>
      </c>
      <c r="S24" s="324">
        <v>487.6</v>
      </c>
      <c r="T24" s="351"/>
      <c r="U24" s="351"/>
      <c r="V24" s="351"/>
      <c r="W24" s="351"/>
      <c r="X24" s="351"/>
      <c r="Y24" s="351"/>
      <c r="Z24" s="351"/>
      <c r="AA24" s="351"/>
      <c r="AB24" s="351">
        <f>124.2+19.6+127.8</f>
        <v>271.60000000000002</v>
      </c>
      <c r="AC24" s="351"/>
      <c r="AD24" s="351">
        <v>216</v>
      </c>
      <c r="AE24" s="351"/>
      <c r="AF24" s="346">
        <f t="shared" si="4"/>
        <v>487.6</v>
      </c>
    </row>
    <row r="25" spans="1:32" s="14" customFormat="1" ht="18.75" customHeight="1" outlineLevel="1" x14ac:dyDescent="0.25">
      <c r="A25" s="5" t="s">
        <v>29</v>
      </c>
      <c r="B25" s="194" t="s">
        <v>109</v>
      </c>
      <c r="C25" s="137"/>
      <c r="D25" s="36">
        <v>883.1</v>
      </c>
      <c r="E25" s="379">
        <v>527</v>
      </c>
      <c r="F25" s="176">
        <v>109.7</v>
      </c>
      <c r="G25" s="176">
        <v>46.4</v>
      </c>
      <c r="H25" s="176">
        <v>7.7</v>
      </c>
      <c r="I25" s="176">
        <f>7.8+84.6</f>
        <v>92.399999999999991</v>
      </c>
      <c r="J25" s="176">
        <v>69.099999999999994</v>
      </c>
      <c r="K25" s="176">
        <f>13.6+16.5</f>
        <v>30.1</v>
      </c>
      <c r="L25" s="176">
        <f>4.5+75.6+0.4+0.7</f>
        <v>81.2</v>
      </c>
      <c r="M25" s="176">
        <v>298.5</v>
      </c>
      <c r="N25" s="176">
        <v>303.10000000000002</v>
      </c>
      <c r="O25" s="176">
        <v>83.9</v>
      </c>
      <c r="P25" s="176">
        <f>0.5+126.4+0.5</f>
        <v>127.4</v>
      </c>
      <c r="Q25" s="176">
        <f>217+0.7+0.6+5.3+0.2</f>
        <v>223.79999999999998</v>
      </c>
      <c r="R25" s="174">
        <f t="shared" si="3"/>
        <v>1473.3</v>
      </c>
      <c r="S25" s="324">
        <v>1427.3</v>
      </c>
      <c r="T25" s="351">
        <f>1.5+27.1</f>
        <v>28.6</v>
      </c>
      <c r="U25" s="351">
        <f>0.7+35.9</f>
        <v>36.6</v>
      </c>
      <c r="V25" s="351">
        <v>394.8</v>
      </c>
      <c r="W25" s="351">
        <f>0.5+35.9</f>
        <v>36.4</v>
      </c>
      <c r="X25" s="351">
        <v>53.9</v>
      </c>
      <c r="Y25" s="351">
        <v>63.2</v>
      </c>
      <c r="Z25" s="351">
        <v>51.3</v>
      </c>
      <c r="AA25" s="351">
        <v>294.60000000000002</v>
      </c>
      <c r="AB25" s="351">
        <f>5+37.6+126.5+0.6</f>
        <v>169.7</v>
      </c>
      <c r="AC25" s="351">
        <v>197.3</v>
      </c>
      <c r="AD25" s="351">
        <f>2.3+67.1</f>
        <v>69.399999999999991</v>
      </c>
      <c r="AE25" s="351">
        <f>2.5+35+0.5+0.5+5.1</f>
        <v>43.6</v>
      </c>
      <c r="AF25" s="346">
        <f t="shared" si="4"/>
        <v>1439.3999999999999</v>
      </c>
    </row>
    <row r="26" spans="1:32" s="317" customFormat="1" ht="35.25" customHeight="1" outlineLevel="1" x14ac:dyDescent="0.25">
      <c r="A26" s="315"/>
      <c r="B26" s="97" t="s">
        <v>178</v>
      </c>
      <c r="C26" s="316"/>
      <c r="D26" s="95">
        <v>12</v>
      </c>
      <c r="E26" s="382">
        <v>0.6</v>
      </c>
      <c r="F26" s="176">
        <v>0</v>
      </c>
      <c r="G26" s="176"/>
      <c r="H26" s="176"/>
      <c r="I26" s="176"/>
      <c r="J26" s="176"/>
      <c r="K26" s="176"/>
      <c r="L26" s="176"/>
      <c r="M26" s="176">
        <v>1066.0999999999999</v>
      </c>
      <c r="N26" s="176">
        <v>-1066.0999999999999</v>
      </c>
      <c r="O26" s="176"/>
      <c r="P26" s="176"/>
      <c r="Q26" s="176"/>
      <c r="R26" s="174">
        <f t="shared" si="3"/>
        <v>0</v>
      </c>
      <c r="S26" s="324">
        <v>0.7</v>
      </c>
      <c r="T26" s="176">
        <v>0.6</v>
      </c>
      <c r="U26" s="176"/>
      <c r="V26" s="176">
        <v>0.1</v>
      </c>
      <c r="W26" s="176"/>
      <c r="X26" s="176"/>
      <c r="Y26" s="176"/>
      <c r="Z26" s="176"/>
      <c r="AA26" s="176"/>
      <c r="AB26" s="176"/>
      <c r="AC26" s="176"/>
      <c r="AD26" s="176"/>
      <c r="AE26" s="174"/>
      <c r="AF26" s="346">
        <f t="shared" si="4"/>
        <v>0.7</v>
      </c>
    </row>
    <row r="27" spans="1:32" s="317" customFormat="1" ht="18.75" customHeight="1" outlineLevel="1" x14ac:dyDescent="0.25">
      <c r="A27" s="315"/>
      <c r="B27" s="197" t="s">
        <v>452</v>
      </c>
      <c r="C27" s="316"/>
      <c r="D27" s="99"/>
      <c r="E27" s="383">
        <v>539</v>
      </c>
      <c r="F27" s="176">
        <v>0</v>
      </c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4">
        <f t="shared" si="3"/>
        <v>0</v>
      </c>
      <c r="S27" s="324">
        <v>0</v>
      </c>
      <c r="T27" s="174">
        <v>23.1</v>
      </c>
      <c r="U27" s="176">
        <v>-23.1</v>
      </c>
      <c r="V27" s="176"/>
      <c r="W27" s="176"/>
      <c r="X27" s="176"/>
      <c r="Y27" s="176"/>
      <c r="Z27" s="176"/>
      <c r="AA27" s="176"/>
      <c r="AB27" s="176">
        <v>8.4</v>
      </c>
      <c r="AC27" s="176">
        <v>-8.4</v>
      </c>
      <c r="AD27" s="176"/>
      <c r="AE27" s="174"/>
      <c r="AF27" s="346">
        <f t="shared" si="4"/>
        <v>0</v>
      </c>
    </row>
    <row r="28" spans="1:32" s="317" customFormat="1" ht="23.25" customHeight="1" outlineLevel="1" x14ac:dyDescent="0.25">
      <c r="A28" s="315"/>
      <c r="B28" s="197" t="s">
        <v>381</v>
      </c>
      <c r="C28" s="316"/>
      <c r="D28" s="99"/>
      <c r="E28" s="99">
        <f>310+331.2</f>
        <v>641.20000000000005</v>
      </c>
      <c r="F28" s="176">
        <v>0</v>
      </c>
      <c r="G28" s="176"/>
      <c r="H28" s="176"/>
      <c r="I28" s="176"/>
      <c r="J28" s="176"/>
      <c r="K28" s="174">
        <v>707.9</v>
      </c>
      <c r="L28" s="176">
        <v>192.2</v>
      </c>
      <c r="M28" s="176"/>
      <c r="N28" s="176"/>
      <c r="O28" s="176"/>
      <c r="P28" s="176"/>
      <c r="Q28" s="176">
        <v>-1.4</v>
      </c>
      <c r="R28" s="174">
        <f t="shared" si="3"/>
        <v>898.69999999999993</v>
      </c>
      <c r="S28" s="324">
        <v>885.1</v>
      </c>
      <c r="T28" s="174"/>
      <c r="U28" s="174"/>
      <c r="V28" s="174"/>
      <c r="W28" s="176">
        <v>429.5</v>
      </c>
      <c r="X28" s="176">
        <v>311.39999999999998</v>
      </c>
      <c r="Y28" s="176"/>
      <c r="Z28" s="176"/>
      <c r="AA28" s="176"/>
      <c r="AB28" s="176"/>
      <c r="AC28" s="174"/>
      <c r="AD28" s="176"/>
      <c r="AE28" s="174"/>
      <c r="AF28" s="346">
        <f t="shared" si="4"/>
        <v>740.9</v>
      </c>
    </row>
    <row r="29" spans="1:32" s="317" customFormat="1" ht="27" customHeight="1" outlineLevel="1" x14ac:dyDescent="0.25">
      <c r="A29" s="315"/>
      <c r="B29" s="198" t="s">
        <v>381</v>
      </c>
      <c r="C29" s="316"/>
      <c r="D29" s="99"/>
      <c r="E29" s="99"/>
      <c r="F29" s="174">
        <v>0</v>
      </c>
      <c r="G29" s="174"/>
      <c r="H29" s="174"/>
      <c r="I29" s="174"/>
      <c r="J29" s="174"/>
      <c r="K29" s="174"/>
      <c r="L29" s="176"/>
      <c r="M29" s="176"/>
      <c r="N29" s="176"/>
      <c r="O29" s="176"/>
      <c r="P29" s="176"/>
      <c r="Q29" s="176"/>
      <c r="R29" s="174">
        <f t="shared" si="3"/>
        <v>0</v>
      </c>
      <c r="S29" s="324">
        <v>0</v>
      </c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346">
        <f t="shared" si="4"/>
        <v>0</v>
      </c>
    </row>
    <row r="30" spans="1:32" s="14" customFormat="1" ht="24.75" customHeight="1" outlineLevel="1" x14ac:dyDescent="0.25">
      <c r="A30" s="5"/>
      <c r="B30" s="286" t="s">
        <v>146</v>
      </c>
      <c r="C30" s="287"/>
      <c r="D30" s="288">
        <f t="shared" ref="D30:E30" si="5">SUM(D15:D29)</f>
        <v>15311.000000000002</v>
      </c>
      <c r="E30" s="288">
        <f t="shared" si="5"/>
        <v>16256.6</v>
      </c>
      <c r="F30" s="236">
        <f>SUM(F15:F29)</f>
        <v>646</v>
      </c>
      <c r="G30" s="236">
        <f t="shared" ref="G30:AF30" si="6">SUM(G15:G29)</f>
        <v>1433.8000000000002</v>
      </c>
      <c r="H30" s="236">
        <f t="shared" si="6"/>
        <v>1402.7</v>
      </c>
      <c r="I30" s="236">
        <f t="shared" si="6"/>
        <v>2402.7999999999997</v>
      </c>
      <c r="J30" s="236">
        <f t="shared" si="6"/>
        <v>1801.3999999999999</v>
      </c>
      <c r="K30" s="236">
        <f t="shared" si="6"/>
        <v>1291.5999999999999</v>
      </c>
      <c r="L30" s="236">
        <f t="shared" si="6"/>
        <v>2465.6999999999998</v>
      </c>
      <c r="M30" s="236">
        <f t="shared" si="6"/>
        <v>2412.8999999999996</v>
      </c>
      <c r="N30" s="236">
        <f t="shared" si="6"/>
        <v>1181.6999999999998</v>
      </c>
      <c r="O30" s="236">
        <f t="shared" si="6"/>
        <v>1204.3000000000002</v>
      </c>
      <c r="P30" s="236">
        <f t="shared" si="6"/>
        <v>936.80000000000007</v>
      </c>
      <c r="Q30" s="236">
        <f t="shared" si="6"/>
        <v>1562.8</v>
      </c>
      <c r="R30" s="236">
        <f t="shared" si="6"/>
        <v>18742.500000000004</v>
      </c>
      <c r="S30" s="236">
        <f>SUM(S15:S29)</f>
        <v>17563.099999999999</v>
      </c>
      <c r="T30" s="236">
        <f t="shared" si="6"/>
        <v>603.00000000000011</v>
      </c>
      <c r="U30" s="236">
        <f>SUM(U15:U29)</f>
        <v>587.79999999999995</v>
      </c>
      <c r="V30" s="236">
        <f t="shared" ref="V30" si="7">SUM(V15:V29)</f>
        <v>987.9</v>
      </c>
      <c r="W30" s="236">
        <f>SUM(W15:W29)</f>
        <v>1730.9</v>
      </c>
      <c r="X30" s="236">
        <f t="shared" si="6"/>
        <v>1434.7000000000003</v>
      </c>
      <c r="Y30" s="236">
        <f t="shared" si="6"/>
        <v>2534.1999999999998</v>
      </c>
      <c r="Z30" s="236">
        <f t="shared" si="6"/>
        <v>2031.8999999999999</v>
      </c>
      <c r="AA30" s="236">
        <f t="shared" si="6"/>
        <v>2336.5</v>
      </c>
      <c r="AB30" s="236">
        <f t="shared" si="6"/>
        <v>1669.8</v>
      </c>
      <c r="AC30" s="236">
        <f t="shared" si="6"/>
        <v>1101.5</v>
      </c>
      <c r="AD30" s="236">
        <f t="shared" si="6"/>
        <v>910.7</v>
      </c>
      <c r="AE30" s="236">
        <f t="shared" si="6"/>
        <v>1414.7</v>
      </c>
      <c r="AF30" s="236">
        <f t="shared" si="6"/>
        <v>17343.700000000004</v>
      </c>
    </row>
    <row r="31" spans="1:32" s="14" customFormat="1" ht="39" outlineLevel="1" x14ac:dyDescent="0.25">
      <c r="A31" s="5"/>
      <c r="B31" s="310" t="s">
        <v>110</v>
      </c>
      <c r="C31" s="162"/>
      <c r="D31" s="167">
        <f t="shared" ref="D31:AE31" si="8">D30+D14</f>
        <v>246233.19999999998</v>
      </c>
      <c r="E31" s="167">
        <f t="shared" si="8"/>
        <v>283154.3</v>
      </c>
      <c r="F31" s="106">
        <f t="shared" si="8"/>
        <v>8073.2999999999993</v>
      </c>
      <c r="G31" s="106">
        <f t="shared" si="8"/>
        <v>1100.9000000000001</v>
      </c>
      <c r="H31" s="106">
        <f t="shared" si="8"/>
        <v>35567.999999999993</v>
      </c>
      <c r="I31" s="106">
        <f t="shared" si="8"/>
        <v>31289.699999999997</v>
      </c>
      <c r="J31" s="106">
        <f t="shared" si="8"/>
        <v>21499.200000000004</v>
      </c>
      <c r="K31" s="106">
        <f t="shared" si="8"/>
        <v>24216.399999999994</v>
      </c>
      <c r="L31" s="106">
        <f t="shared" si="8"/>
        <v>27046.9</v>
      </c>
      <c r="M31" s="106">
        <f t="shared" si="8"/>
        <v>23315.800000000003</v>
      </c>
      <c r="N31" s="106">
        <f t="shared" si="8"/>
        <v>20829.000000000004</v>
      </c>
      <c r="O31" s="106">
        <f t="shared" si="8"/>
        <v>13264.000000000004</v>
      </c>
      <c r="P31" s="106">
        <f t="shared" si="8"/>
        <v>21420.299999999996</v>
      </c>
      <c r="Q31" s="106">
        <f>Q30+Q14</f>
        <v>46060.200000000004</v>
      </c>
      <c r="R31" s="106">
        <f t="shared" si="8"/>
        <v>273683.70000000007</v>
      </c>
      <c r="S31" s="106">
        <f>S30+S14</f>
        <v>316041.90000000002</v>
      </c>
      <c r="T31" s="106">
        <f t="shared" si="8"/>
        <v>12518.500000000002</v>
      </c>
      <c r="U31" s="106">
        <f t="shared" si="8"/>
        <v>19864.999999999996</v>
      </c>
      <c r="V31" s="106">
        <f t="shared" si="8"/>
        <v>21304.100000000002</v>
      </c>
      <c r="W31" s="106">
        <f t="shared" si="8"/>
        <v>19244.900000000001</v>
      </c>
      <c r="X31" s="106">
        <f t="shared" si="8"/>
        <v>31903.900000000005</v>
      </c>
      <c r="Y31" s="106">
        <f t="shared" si="8"/>
        <v>29880.600000000002</v>
      </c>
      <c r="Z31" s="106">
        <f t="shared" si="8"/>
        <v>36289.500000000007</v>
      </c>
      <c r="AA31" s="106">
        <f t="shared" si="8"/>
        <v>23526.900000000005</v>
      </c>
      <c r="AB31" s="106">
        <f t="shared" si="8"/>
        <v>25245.3</v>
      </c>
      <c r="AC31" s="106">
        <f t="shared" si="8"/>
        <v>37430.399999999994</v>
      </c>
      <c r="AD31" s="106">
        <f t="shared" si="8"/>
        <v>31362.9</v>
      </c>
      <c r="AE31" s="106">
        <f t="shared" si="8"/>
        <v>49374.600000000013</v>
      </c>
      <c r="AF31" s="106">
        <f>AF30+AF14</f>
        <v>337946.7</v>
      </c>
    </row>
    <row r="32" spans="1:32" s="378" customFormat="1" ht="28.5" customHeight="1" x14ac:dyDescent="0.25">
      <c r="A32" s="8"/>
      <c r="B32" s="16" t="s">
        <v>30</v>
      </c>
      <c r="C32" s="25"/>
      <c r="D32" s="132">
        <f>D34+D37+D73+D108+D120+D119+D118+0.1</f>
        <v>519784.19999999995</v>
      </c>
      <c r="E32" s="132">
        <f>E34+E37+E73+E108+E120+E119+E118+0.1</f>
        <v>675541.20000000007</v>
      </c>
      <c r="F32" s="174">
        <f t="shared" ref="F32:AF32" si="9">F34+F37+F73+F108+F118+F119+F120</f>
        <v>37489.400000000009</v>
      </c>
      <c r="G32" s="174">
        <f t="shared" si="9"/>
        <v>58034.299999999996</v>
      </c>
      <c r="H32" s="174">
        <f t="shared" si="9"/>
        <v>277620.50000000006</v>
      </c>
      <c r="I32" s="174">
        <f t="shared" si="9"/>
        <v>68576.099999999991</v>
      </c>
      <c r="J32" s="174">
        <f t="shared" si="9"/>
        <v>56695</v>
      </c>
      <c r="K32" s="174">
        <f t="shared" si="9"/>
        <v>57508.800000000003</v>
      </c>
      <c r="L32" s="174">
        <f t="shared" si="9"/>
        <v>62567.8</v>
      </c>
      <c r="M32" s="174">
        <f t="shared" si="9"/>
        <v>142271.09999999998</v>
      </c>
      <c r="N32" s="174">
        <f t="shared" si="9"/>
        <v>101536.59999999998</v>
      </c>
      <c r="O32" s="174">
        <f t="shared" si="9"/>
        <v>98775.6</v>
      </c>
      <c r="P32" s="174">
        <f t="shared" si="9"/>
        <v>107437.39999999998</v>
      </c>
      <c r="Q32" s="174">
        <f t="shared" si="9"/>
        <v>138829.1</v>
      </c>
      <c r="R32" s="174">
        <f t="shared" si="9"/>
        <v>1207341.7999999998</v>
      </c>
      <c r="S32" s="174">
        <f t="shared" si="9"/>
        <v>989640.9</v>
      </c>
      <c r="T32" s="174">
        <f t="shared" si="9"/>
        <v>45253.700000000004</v>
      </c>
      <c r="U32" s="174">
        <f t="shared" si="9"/>
        <v>46174.299999999996</v>
      </c>
      <c r="V32" s="174">
        <f t="shared" si="9"/>
        <v>71939.199999999997</v>
      </c>
      <c r="W32" s="174">
        <f t="shared" si="9"/>
        <v>169779.99999999997</v>
      </c>
      <c r="X32" s="174">
        <f t="shared" si="9"/>
        <v>15362.2</v>
      </c>
      <c r="Y32" s="174">
        <f t="shared" si="9"/>
        <v>76267.400000000009</v>
      </c>
      <c r="Z32" s="174">
        <f t="shared" si="9"/>
        <v>59245.899999999994</v>
      </c>
      <c r="AA32" s="174">
        <f t="shared" si="9"/>
        <v>75800.3</v>
      </c>
      <c r="AB32" s="174">
        <f t="shared" si="9"/>
        <v>89542.399999999994</v>
      </c>
      <c r="AC32" s="174">
        <f t="shared" si="9"/>
        <v>106116.76999999999</v>
      </c>
      <c r="AD32" s="174">
        <f t="shared" si="9"/>
        <v>74345.599999999991</v>
      </c>
      <c r="AE32" s="174">
        <f t="shared" si="9"/>
        <v>124400.29999999999</v>
      </c>
      <c r="AF32" s="236">
        <f t="shared" si="9"/>
        <v>954227.59999999986</v>
      </c>
    </row>
    <row r="33" spans="1:32" s="378" customFormat="1" ht="29.25" customHeight="1" x14ac:dyDescent="0.25">
      <c r="A33" s="8"/>
      <c r="B33" s="242" t="s">
        <v>291</v>
      </c>
      <c r="C33" s="25"/>
      <c r="D33" s="174">
        <f>D34+D37+D73+D108</f>
        <v>520187</v>
      </c>
      <c r="E33" s="174">
        <f>E34+E37+E73+E108+0.1</f>
        <v>682661.60000000009</v>
      </c>
      <c r="F33" s="174">
        <f t="shared" ref="F33:AF33" si="10">F34+F37+F73+F108</f>
        <v>39064.400000000009</v>
      </c>
      <c r="G33" s="174">
        <f t="shared" si="10"/>
        <v>56999.399999999994</v>
      </c>
      <c r="H33" s="174">
        <f t="shared" si="10"/>
        <v>277527.60000000003</v>
      </c>
      <c r="I33" s="174">
        <f t="shared" si="10"/>
        <v>68587.899999999994</v>
      </c>
      <c r="J33" s="174">
        <f t="shared" si="10"/>
        <v>57696.6</v>
      </c>
      <c r="K33" s="174">
        <f t="shared" si="10"/>
        <v>57508.800000000003</v>
      </c>
      <c r="L33" s="174">
        <f t="shared" si="10"/>
        <v>62567.8</v>
      </c>
      <c r="M33" s="174">
        <f t="shared" si="10"/>
        <v>142271.09999999998</v>
      </c>
      <c r="N33" s="174">
        <f t="shared" si="10"/>
        <v>101536.59999999998</v>
      </c>
      <c r="O33" s="174">
        <f t="shared" si="10"/>
        <v>98775.6</v>
      </c>
      <c r="P33" s="174">
        <f t="shared" si="10"/>
        <v>107437.39999999998</v>
      </c>
      <c r="Q33" s="174">
        <f t="shared" si="10"/>
        <v>138829.1</v>
      </c>
      <c r="R33" s="174">
        <f t="shared" si="10"/>
        <v>1208802.3999999999</v>
      </c>
      <c r="S33" s="174">
        <f t="shared" si="10"/>
        <v>991358.6</v>
      </c>
      <c r="T33" s="174">
        <f t="shared" si="10"/>
        <v>47145.3</v>
      </c>
      <c r="U33" s="174">
        <f t="shared" si="10"/>
        <v>45151.099999999991</v>
      </c>
      <c r="V33" s="174">
        <f t="shared" si="10"/>
        <v>72788.399999999994</v>
      </c>
      <c r="W33" s="174">
        <f t="shared" si="10"/>
        <v>169779.99999999997</v>
      </c>
      <c r="X33" s="174">
        <f t="shared" si="10"/>
        <v>15362.2</v>
      </c>
      <c r="Y33" s="174">
        <f t="shared" si="10"/>
        <v>76267.400000000009</v>
      </c>
      <c r="Z33" s="174">
        <f t="shared" si="10"/>
        <v>59245.899999999994</v>
      </c>
      <c r="AA33" s="174">
        <f t="shared" si="10"/>
        <v>75800.3</v>
      </c>
      <c r="AB33" s="174">
        <f t="shared" si="10"/>
        <v>89542.399999999994</v>
      </c>
      <c r="AC33" s="174">
        <f t="shared" si="10"/>
        <v>106116.76999999999</v>
      </c>
      <c r="AD33" s="174">
        <f t="shared" si="10"/>
        <v>74345.599999999991</v>
      </c>
      <c r="AE33" s="174">
        <f t="shared" si="10"/>
        <v>124400.29999999999</v>
      </c>
      <c r="AF33" s="236">
        <f t="shared" si="10"/>
        <v>955945.29999999981</v>
      </c>
    </row>
    <row r="34" spans="1:32" s="378" customFormat="1" ht="18.75" customHeight="1" x14ac:dyDescent="0.25">
      <c r="A34" s="8"/>
      <c r="B34" s="175" t="s">
        <v>111</v>
      </c>
      <c r="C34" s="23"/>
      <c r="D34" s="169">
        <f>D35+D36+720</f>
        <v>182425.7</v>
      </c>
      <c r="E34" s="169">
        <f>E35+E36</f>
        <v>196252.5</v>
      </c>
      <c r="F34" s="106">
        <f>F35+F36</f>
        <v>17437.599999999999</v>
      </c>
      <c r="G34" s="106">
        <f t="shared" ref="G34:AF34" si="11">G35+G36</f>
        <v>34875.4</v>
      </c>
      <c r="H34" s="106">
        <f t="shared" si="11"/>
        <v>0</v>
      </c>
      <c r="I34" s="106">
        <f t="shared" si="11"/>
        <v>34875.199999999997</v>
      </c>
      <c r="J34" s="106">
        <f t="shared" si="11"/>
        <v>17437.7</v>
      </c>
      <c r="K34" s="106">
        <f t="shared" si="11"/>
        <v>0</v>
      </c>
      <c r="L34" s="106">
        <f t="shared" si="11"/>
        <v>17437.599999999999</v>
      </c>
      <c r="M34" s="106">
        <f t="shared" si="11"/>
        <v>41975.399999999994</v>
      </c>
      <c r="N34" s="106">
        <f t="shared" si="11"/>
        <v>0</v>
      </c>
      <c r="O34" s="106">
        <f t="shared" si="11"/>
        <v>18226.5</v>
      </c>
      <c r="P34" s="106">
        <f t="shared" si="11"/>
        <v>36453.1</v>
      </c>
      <c r="Q34" s="106">
        <f t="shared" si="11"/>
        <v>0</v>
      </c>
      <c r="R34" s="106">
        <f t="shared" si="11"/>
        <v>218718.5</v>
      </c>
      <c r="S34" s="106">
        <f t="shared" si="11"/>
        <v>272724.8</v>
      </c>
      <c r="T34" s="106">
        <f t="shared" si="11"/>
        <v>21962</v>
      </c>
      <c r="U34" s="106">
        <f t="shared" si="11"/>
        <v>21962</v>
      </c>
      <c r="V34" s="106">
        <f t="shared" si="11"/>
        <v>21961.9</v>
      </c>
      <c r="W34" s="106">
        <f t="shared" si="11"/>
        <v>43924</v>
      </c>
      <c r="X34" s="106">
        <f t="shared" si="11"/>
        <v>0</v>
      </c>
      <c r="Y34" s="106">
        <f t="shared" si="11"/>
        <v>21962</v>
      </c>
      <c r="Z34" s="106">
        <f t="shared" si="11"/>
        <v>21962</v>
      </c>
      <c r="AA34" s="106">
        <f t="shared" si="11"/>
        <v>21962</v>
      </c>
      <c r="AB34" s="106">
        <f t="shared" si="11"/>
        <v>21961.9</v>
      </c>
      <c r="AC34" s="106">
        <f t="shared" si="11"/>
        <v>25022.3</v>
      </c>
      <c r="AD34" s="106">
        <f t="shared" si="11"/>
        <v>25022.3</v>
      </c>
      <c r="AE34" s="106">
        <f t="shared" si="11"/>
        <v>25022.399999999998</v>
      </c>
      <c r="AF34" s="106">
        <f t="shared" si="11"/>
        <v>272724.8</v>
      </c>
    </row>
    <row r="35" spans="1:32" s="378" customFormat="1" ht="30" outlineLevel="7" x14ac:dyDescent="0.25">
      <c r="A35" s="8" t="s">
        <v>31</v>
      </c>
      <c r="B35" s="9" t="s">
        <v>113</v>
      </c>
      <c r="C35" s="10"/>
      <c r="D35" s="170">
        <v>152615.1</v>
      </c>
      <c r="E35" s="170">
        <v>169069.9</v>
      </c>
      <c r="F35" s="176">
        <v>14988.8</v>
      </c>
      <c r="G35" s="176">
        <v>29977.7</v>
      </c>
      <c r="H35" s="176"/>
      <c r="I35" s="176">
        <v>29977.599999999999</v>
      </c>
      <c r="J35" s="176">
        <v>14989</v>
      </c>
      <c r="K35" s="176"/>
      <c r="L35" s="176">
        <v>14988.8</v>
      </c>
      <c r="M35" s="176">
        <v>37077.699999999997</v>
      </c>
      <c r="N35" s="176"/>
      <c r="O35" s="176">
        <v>15777.7</v>
      </c>
      <c r="P35" s="176">
        <v>31555.5</v>
      </c>
      <c r="Q35" s="176"/>
      <c r="R35" s="176">
        <f>F35+G35+H35+I35+J35+K35+L35+M35+N35+O35+P35+Q35</f>
        <v>189332.80000000002</v>
      </c>
      <c r="S35" s="324">
        <v>183621.3</v>
      </c>
      <c r="T35" s="176">
        <v>14536.7</v>
      </c>
      <c r="U35" s="176">
        <v>14536.7</v>
      </c>
      <c r="V35" s="176">
        <v>14536.6</v>
      </c>
      <c r="W35" s="176">
        <v>29073.4</v>
      </c>
      <c r="X35" s="176"/>
      <c r="Y35" s="176">
        <v>14536.7</v>
      </c>
      <c r="Z35" s="176">
        <v>14536.7</v>
      </c>
      <c r="AA35" s="176">
        <v>14536.7</v>
      </c>
      <c r="AB35" s="176">
        <v>14536.7</v>
      </c>
      <c r="AC35" s="176">
        <v>17597</v>
      </c>
      <c r="AD35" s="176">
        <v>17597</v>
      </c>
      <c r="AE35" s="176">
        <v>17597.099999999999</v>
      </c>
      <c r="AF35" s="346">
        <f>T35+U35+V35+W35+X35+Y35+Z35+AA35+AB35+AE35+AD35+AC35</f>
        <v>183621.3</v>
      </c>
    </row>
    <row r="36" spans="1:32" s="378" customFormat="1" ht="45" outlineLevel="7" x14ac:dyDescent="0.25">
      <c r="A36" s="8" t="s">
        <v>32</v>
      </c>
      <c r="B36" s="9" t="s">
        <v>114</v>
      </c>
      <c r="C36" s="10"/>
      <c r="D36" s="170">
        <v>29090.6</v>
      </c>
      <c r="E36" s="170">
        <v>27182.6</v>
      </c>
      <c r="F36" s="176">
        <v>2448.8000000000002</v>
      </c>
      <c r="G36" s="176">
        <v>4897.7</v>
      </c>
      <c r="H36" s="176"/>
      <c r="I36" s="176">
        <v>4897.6000000000004</v>
      </c>
      <c r="J36" s="176">
        <v>2448.6999999999998</v>
      </c>
      <c r="K36" s="176"/>
      <c r="L36" s="176">
        <v>2448.8000000000002</v>
      </c>
      <c r="M36" s="176">
        <v>4897.7</v>
      </c>
      <c r="N36" s="176"/>
      <c r="O36" s="176">
        <v>2448.8000000000002</v>
      </c>
      <c r="P36" s="176">
        <v>4897.6000000000004</v>
      </c>
      <c r="Q36" s="176"/>
      <c r="R36" s="176">
        <f>F36+G36+H36+I36+J36+K36+L36+M36+N36+O36+P36+Q36</f>
        <v>29385.699999999997</v>
      </c>
      <c r="S36" s="324">
        <v>89103.5</v>
      </c>
      <c r="T36" s="176">
        <v>7425.3</v>
      </c>
      <c r="U36" s="176">
        <v>7425.3</v>
      </c>
      <c r="V36" s="176">
        <v>7425.3</v>
      </c>
      <c r="W36" s="176">
        <v>14850.6</v>
      </c>
      <c r="X36" s="176"/>
      <c r="Y36" s="176">
        <v>7425.3</v>
      </c>
      <c r="Z36" s="176">
        <v>7425.3</v>
      </c>
      <c r="AA36" s="176">
        <v>7425.3</v>
      </c>
      <c r="AB36" s="176">
        <v>7425.2</v>
      </c>
      <c r="AC36" s="176">
        <v>7425.3</v>
      </c>
      <c r="AD36" s="176">
        <v>7425.3</v>
      </c>
      <c r="AE36" s="176">
        <v>7425.3</v>
      </c>
      <c r="AF36" s="346">
        <f>T36+U36+V36+W36+X36+Y36+Z36+AA36+AB36+AE36+AD36+AC36</f>
        <v>89103.500000000015</v>
      </c>
    </row>
    <row r="37" spans="1:32" s="378" customFormat="1" ht="23.25" outlineLevel="2" x14ac:dyDescent="0.25">
      <c r="A37" s="8" t="s">
        <v>33</v>
      </c>
      <c r="B37" s="175" t="s">
        <v>112</v>
      </c>
      <c r="C37" s="23"/>
      <c r="D37" s="169">
        <v>105616.8</v>
      </c>
      <c r="E37" s="169">
        <v>181867.9</v>
      </c>
      <c r="F37" s="106">
        <f t="shared" ref="F37:R37" si="12">SUM(F38:F72)</f>
        <v>117.4</v>
      </c>
      <c r="G37" s="106">
        <f t="shared" si="12"/>
        <v>2250.1999999999998</v>
      </c>
      <c r="H37" s="106">
        <f t="shared" si="12"/>
        <v>242141.90000000002</v>
      </c>
      <c r="I37" s="106">
        <f t="shared" si="12"/>
        <v>2436.5000000000005</v>
      </c>
      <c r="J37" s="106">
        <f t="shared" si="12"/>
        <v>8226.5</v>
      </c>
      <c r="K37" s="106">
        <f t="shared" si="12"/>
        <v>25092.899999999998</v>
      </c>
      <c r="L37" s="106">
        <f t="shared" si="12"/>
        <v>26976</v>
      </c>
      <c r="M37" s="106">
        <f t="shared" si="12"/>
        <v>76504.199999999983</v>
      </c>
      <c r="N37" s="106">
        <f t="shared" si="12"/>
        <v>79157.299999999988</v>
      </c>
      <c r="O37" s="106">
        <f t="shared" si="12"/>
        <v>36745.100000000006</v>
      </c>
      <c r="P37" s="106">
        <f t="shared" si="12"/>
        <v>42853.099999999991</v>
      </c>
      <c r="Q37" s="106">
        <f t="shared" si="12"/>
        <v>115885.29999999999</v>
      </c>
      <c r="R37" s="106">
        <f t="shared" si="12"/>
        <v>658386.4</v>
      </c>
      <c r="S37" s="325">
        <f t="shared" ref="S37:AF37" si="13">SUM(S39:S72)+S38</f>
        <v>278964.30000000005</v>
      </c>
      <c r="T37" s="106">
        <f t="shared" si="13"/>
        <v>202.4</v>
      </c>
      <c r="U37" s="106">
        <f t="shared" si="13"/>
        <v>1730.8000000000002</v>
      </c>
      <c r="V37" s="106">
        <f t="shared" si="13"/>
        <v>3701.8</v>
      </c>
      <c r="W37" s="106">
        <f t="shared" si="13"/>
        <v>59594.8</v>
      </c>
      <c r="X37" s="106">
        <f t="shared" si="13"/>
        <v>5460.7000000000007</v>
      </c>
      <c r="Y37" s="106">
        <f t="shared" si="13"/>
        <v>14111.999999999998</v>
      </c>
      <c r="Z37" s="106">
        <f t="shared" si="13"/>
        <v>7491.7999999999993</v>
      </c>
      <c r="AA37" s="106">
        <f t="shared" si="13"/>
        <v>14951.800000000001</v>
      </c>
      <c r="AB37" s="106">
        <f t="shared" si="13"/>
        <v>27601</v>
      </c>
      <c r="AC37" s="106">
        <f t="shared" si="13"/>
        <v>35976.370000000003</v>
      </c>
      <c r="AD37" s="106">
        <f t="shared" si="13"/>
        <v>21989.899999999998</v>
      </c>
      <c r="AE37" s="106">
        <f t="shared" si="13"/>
        <v>51427.3</v>
      </c>
      <c r="AF37" s="106">
        <f t="shared" si="13"/>
        <v>244240.50000000003</v>
      </c>
    </row>
    <row r="38" spans="1:32" s="19" customFormat="1" ht="45" outlineLevel="2" x14ac:dyDescent="0.25">
      <c r="A38" s="18"/>
      <c r="B38" s="224" t="s">
        <v>250</v>
      </c>
      <c r="C38" s="20" t="s">
        <v>249</v>
      </c>
      <c r="D38" s="99"/>
      <c r="E38" s="99"/>
      <c r="F38" s="176">
        <v>0</v>
      </c>
      <c r="G38" s="176"/>
      <c r="H38" s="176">
        <v>130928.3</v>
      </c>
      <c r="I38" s="176">
        <v>253.7</v>
      </c>
      <c r="J38" s="176"/>
      <c r="K38" s="176">
        <v>2214.1</v>
      </c>
      <c r="L38" s="176">
        <v>5104.6000000000004</v>
      </c>
      <c r="M38" s="174">
        <v>39424.400000000001</v>
      </c>
      <c r="N38" s="176">
        <v>41901.300000000003</v>
      </c>
      <c r="O38" s="176">
        <v>27320.7</v>
      </c>
      <c r="P38" s="176">
        <v>15089.7</v>
      </c>
      <c r="Q38" s="176">
        <f>92270.7+12850.7</f>
        <v>105121.4</v>
      </c>
      <c r="R38" s="176">
        <f t="shared" ref="R38:R54" si="14">F38+G38+H38+I38+J38+K38+L38+M38+N38+O38+P38+Q38</f>
        <v>367358.20000000007</v>
      </c>
      <c r="S38" s="324">
        <v>22614.7</v>
      </c>
      <c r="T38" s="176"/>
      <c r="U38" s="174"/>
      <c r="V38" s="176"/>
      <c r="W38" s="176">
        <v>22614.7</v>
      </c>
      <c r="X38" s="176"/>
      <c r="Y38" s="176"/>
      <c r="Z38" s="174"/>
      <c r="AA38" s="176"/>
      <c r="AB38" s="176"/>
      <c r="AC38" s="176"/>
      <c r="AD38" s="176"/>
      <c r="AE38" s="176"/>
      <c r="AF38" s="346">
        <f t="shared" ref="AF38:AF47" si="15">T38+U38+V38+W38+X38+Y38+Z38+AA38+AB38+AE38+AD38+AC38</f>
        <v>22614.7</v>
      </c>
    </row>
    <row r="39" spans="1:32" s="19" customFormat="1" ht="34.5" customHeight="1" outlineLevel="2" x14ac:dyDescent="0.25">
      <c r="A39" s="18"/>
      <c r="B39" s="9" t="s">
        <v>287</v>
      </c>
      <c r="C39" s="20" t="s">
        <v>272</v>
      </c>
      <c r="D39" s="99"/>
      <c r="E39" s="99"/>
      <c r="F39" s="174"/>
      <c r="G39" s="174"/>
      <c r="H39" s="176"/>
      <c r="I39" s="174"/>
      <c r="J39" s="174"/>
      <c r="K39" s="174"/>
      <c r="L39" s="176"/>
      <c r="M39" s="174"/>
      <c r="N39" s="176">
        <v>13990.7</v>
      </c>
      <c r="O39" s="176">
        <v>0.1</v>
      </c>
      <c r="P39" s="174"/>
      <c r="Q39" s="174"/>
      <c r="R39" s="176">
        <f t="shared" si="14"/>
        <v>13990.800000000001</v>
      </c>
      <c r="S39" s="324">
        <v>15167.9</v>
      </c>
      <c r="T39" s="176"/>
      <c r="U39" s="174"/>
      <c r="V39" s="176"/>
      <c r="W39" s="176"/>
      <c r="X39" s="176"/>
      <c r="Y39" s="176"/>
      <c r="Z39" s="174"/>
      <c r="AA39" s="176">
        <v>5442.7</v>
      </c>
      <c r="AB39" s="176"/>
      <c r="AC39" s="176">
        <v>1129</v>
      </c>
      <c r="AD39" s="176"/>
      <c r="AE39" s="176">
        <v>8535.7000000000007</v>
      </c>
      <c r="AF39" s="346">
        <f t="shared" si="15"/>
        <v>15107.400000000001</v>
      </c>
    </row>
    <row r="40" spans="1:32" s="19" customFormat="1" ht="75" customHeight="1" outlineLevel="2" x14ac:dyDescent="0.25">
      <c r="A40" s="18"/>
      <c r="B40" s="21" t="s">
        <v>445</v>
      </c>
      <c r="C40" s="20" t="s">
        <v>137</v>
      </c>
      <c r="D40" s="171"/>
      <c r="E40" s="171"/>
      <c r="F40" s="174"/>
      <c r="G40" s="174"/>
      <c r="H40" s="176"/>
      <c r="I40" s="174"/>
      <c r="J40" s="174"/>
      <c r="K40" s="174"/>
      <c r="L40" s="176"/>
      <c r="M40" s="174"/>
      <c r="N40" s="176"/>
      <c r="O40" s="176"/>
      <c r="P40" s="174"/>
      <c r="Q40" s="174"/>
      <c r="R40" s="176">
        <f t="shared" si="14"/>
        <v>0</v>
      </c>
      <c r="S40" s="324">
        <f>1766.4+4251.5</f>
        <v>6017.9</v>
      </c>
      <c r="T40" s="176"/>
      <c r="U40" s="174"/>
      <c r="V40" s="176"/>
      <c r="W40" s="176">
        <v>1766.4</v>
      </c>
      <c r="X40" s="176"/>
      <c r="Y40" s="176"/>
      <c r="Z40" s="174"/>
      <c r="AA40" s="176"/>
      <c r="AB40" s="176"/>
      <c r="AC40" s="176">
        <v>2459.5</v>
      </c>
      <c r="AD40" s="176">
        <v>1792</v>
      </c>
      <c r="AE40" s="176"/>
      <c r="AF40" s="346">
        <f t="shared" si="15"/>
        <v>6017.9</v>
      </c>
    </row>
    <row r="41" spans="1:32" s="19" customFormat="1" ht="62.25" customHeight="1" outlineLevel="2" x14ac:dyDescent="0.25">
      <c r="A41" s="18"/>
      <c r="B41" s="21" t="s">
        <v>280</v>
      </c>
      <c r="C41" s="20" t="s">
        <v>34</v>
      </c>
      <c r="D41" s="171"/>
      <c r="E41" s="171"/>
      <c r="F41" s="174"/>
      <c r="G41" s="174"/>
      <c r="H41" s="176"/>
      <c r="I41" s="174"/>
      <c r="J41" s="176"/>
      <c r="K41" s="174"/>
      <c r="L41" s="176"/>
      <c r="M41" s="174"/>
      <c r="N41" s="176"/>
      <c r="O41" s="176"/>
      <c r="P41" s="174"/>
      <c r="Q41" s="174"/>
      <c r="R41" s="176">
        <f t="shared" si="14"/>
        <v>0</v>
      </c>
      <c r="S41" s="324">
        <f>25.5+4651.5</f>
        <v>4677</v>
      </c>
      <c r="T41" s="176"/>
      <c r="U41" s="174"/>
      <c r="V41" s="176"/>
      <c r="W41" s="176">
        <v>25.5</v>
      </c>
      <c r="X41" s="176"/>
      <c r="Y41" s="176"/>
      <c r="Z41" s="174"/>
      <c r="AA41" s="176"/>
      <c r="AB41" s="176"/>
      <c r="AC41" s="176">
        <f>2690.6</f>
        <v>2690.6</v>
      </c>
      <c r="AD41" s="176">
        <f>25.5+1935.4</f>
        <v>1960.9</v>
      </c>
      <c r="AE41" s="176"/>
      <c r="AF41" s="346">
        <f t="shared" si="15"/>
        <v>4677</v>
      </c>
    </row>
    <row r="42" spans="1:32" s="19" customFormat="1" ht="49.5" customHeight="1" outlineLevel="2" x14ac:dyDescent="0.25">
      <c r="A42" s="18"/>
      <c r="B42" s="9" t="s">
        <v>264</v>
      </c>
      <c r="C42" s="20" t="s">
        <v>251</v>
      </c>
      <c r="D42" s="171"/>
      <c r="E42" s="171"/>
      <c r="F42" s="174"/>
      <c r="G42" s="174"/>
      <c r="H42" s="176">
        <v>103593.3</v>
      </c>
      <c r="I42" s="174"/>
      <c r="J42" s="176"/>
      <c r="K42" s="174"/>
      <c r="L42" s="176"/>
      <c r="M42" s="174"/>
      <c r="N42" s="176"/>
      <c r="O42" s="176"/>
      <c r="P42" s="174"/>
      <c r="Q42" s="174"/>
      <c r="R42" s="176">
        <f t="shared" si="14"/>
        <v>103593.3</v>
      </c>
      <c r="S42" s="324">
        <v>0</v>
      </c>
      <c r="T42" s="176"/>
      <c r="U42" s="174"/>
      <c r="V42" s="176"/>
      <c r="W42" s="176"/>
      <c r="X42" s="176"/>
      <c r="Y42" s="176"/>
      <c r="Z42" s="174"/>
      <c r="AA42" s="176"/>
      <c r="AB42" s="176"/>
      <c r="AC42" s="176"/>
      <c r="AD42" s="176"/>
      <c r="AE42" s="176"/>
      <c r="AF42" s="346">
        <f t="shared" si="15"/>
        <v>0</v>
      </c>
    </row>
    <row r="43" spans="1:32" s="19" customFormat="1" ht="50.25" customHeight="1" outlineLevel="2" x14ac:dyDescent="0.25">
      <c r="A43" s="18"/>
      <c r="B43" s="9" t="s">
        <v>263</v>
      </c>
      <c r="C43" s="20" t="s">
        <v>252</v>
      </c>
      <c r="D43" s="171"/>
      <c r="E43" s="171"/>
      <c r="F43" s="174"/>
      <c r="G43" s="174"/>
      <c r="H43" s="176">
        <v>4316.3999999999996</v>
      </c>
      <c r="I43" s="174"/>
      <c r="J43" s="176"/>
      <c r="K43" s="174"/>
      <c r="L43" s="176"/>
      <c r="M43" s="174"/>
      <c r="N43" s="176"/>
      <c r="O43" s="176"/>
      <c r="P43" s="174"/>
      <c r="Q43" s="174"/>
      <c r="R43" s="176">
        <f t="shared" si="14"/>
        <v>4316.3999999999996</v>
      </c>
      <c r="S43" s="324">
        <v>0</v>
      </c>
      <c r="T43" s="176"/>
      <c r="U43" s="174"/>
      <c r="V43" s="176"/>
      <c r="W43" s="176"/>
      <c r="X43" s="176"/>
      <c r="Y43" s="176"/>
      <c r="Z43" s="174"/>
      <c r="AA43" s="176"/>
      <c r="AB43" s="176"/>
      <c r="AC43" s="176"/>
      <c r="AD43" s="176"/>
      <c r="AE43" s="176"/>
      <c r="AF43" s="346">
        <f t="shared" si="15"/>
        <v>0</v>
      </c>
    </row>
    <row r="44" spans="1:32" s="378" customFormat="1" ht="45" outlineLevel="7" x14ac:dyDescent="0.25">
      <c r="A44" s="8" t="s">
        <v>117</v>
      </c>
      <c r="B44" s="9" t="s">
        <v>139</v>
      </c>
      <c r="C44" s="10" t="s">
        <v>118</v>
      </c>
      <c r="D44" s="68"/>
      <c r="E44" s="68"/>
      <c r="F44" s="174"/>
      <c r="G44" s="174">
        <v>1180</v>
      </c>
      <c r="H44" s="176">
        <v>561</v>
      </c>
      <c r="I44" s="176">
        <v>701.2</v>
      </c>
      <c r="J44" s="176">
        <v>701.2</v>
      </c>
      <c r="K44" s="174"/>
      <c r="L44" s="176"/>
      <c r="M44" s="174">
        <v>368.2</v>
      </c>
      <c r="N44" s="176">
        <v>368.1</v>
      </c>
      <c r="O44" s="176">
        <v>701.3</v>
      </c>
      <c r="P44" s="176">
        <v>631.29999999999995</v>
      </c>
      <c r="Q44" s="176">
        <v>666.2</v>
      </c>
      <c r="R44" s="176">
        <f t="shared" si="14"/>
        <v>5878.4999999999991</v>
      </c>
      <c r="S44" s="324">
        <v>5939.6</v>
      </c>
      <c r="T44" s="176"/>
      <c r="U44" s="176">
        <v>1565.9</v>
      </c>
      <c r="V44" s="176">
        <v>150.69999999999999</v>
      </c>
      <c r="W44" s="176">
        <v>673.5</v>
      </c>
      <c r="X44" s="176">
        <v>650</v>
      </c>
      <c r="Y44" s="176"/>
      <c r="Z44" s="174"/>
      <c r="AA44" s="176">
        <v>460</v>
      </c>
      <c r="AB44" s="176">
        <f>605.3-145.3</f>
        <v>459.99999999999994</v>
      </c>
      <c r="AC44" s="176">
        <v>740</v>
      </c>
      <c r="AD44" s="176">
        <v>710.5</v>
      </c>
      <c r="AE44" s="176">
        <f>749.9-220.9</f>
        <v>529</v>
      </c>
      <c r="AF44" s="346">
        <f t="shared" si="15"/>
        <v>5939.6</v>
      </c>
    </row>
    <row r="45" spans="1:32" s="378" customFormat="1" ht="45" outlineLevel="7" x14ac:dyDescent="0.25">
      <c r="A45" s="8" t="s">
        <v>36</v>
      </c>
      <c r="B45" s="9" t="s">
        <v>115</v>
      </c>
      <c r="C45" s="10" t="s">
        <v>37</v>
      </c>
      <c r="D45" s="68"/>
      <c r="E45" s="68"/>
      <c r="F45" s="174"/>
      <c r="G45" s="174">
        <v>372.6</v>
      </c>
      <c r="H45" s="176">
        <v>177.2</v>
      </c>
      <c r="I45" s="176">
        <v>221.4</v>
      </c>
      <c r="J45" s="176">
        <v>221.5</v>
      </c>
      <c r="K45" s="174"/>
      <c r="L45" s="176"/>
      <c r="M45" s="174">
        <v>116.2</v>
      </c>
      <c r="N45" s="176">
        <v>116.3</v>
      </c>
      <c r="O45" s="176">
        <v>221.4</v>
      </c>
      <c r="P45" s="176">
        <v>199.4</v>
      </c>
      <c r="Q45" s="176">
        <v>210.3</v>
      </c>
      <c r="R45" s="176">
        <f t="shared" si="14"/>
        <v>1856.3</v>
      </c>
      <c r="S45" s="324">
        <v>1875.7</v>
      </c>
      <c r="T45" s="176"/>
      <c r="U45" s="174"/>
      <c r="V45" s="176">
        <v>375.8</v>
      </c>
      <c r="W45" s="176">
        <v>379</v>
      </c>
      <c r="X45" s="176">
        <v>205.2</v>
      </c>
      <c r="Y45" s="176"/>
      <c r="Z45" s="174"/>
      <c r="AA45" s="176">
        <v>145.30000000000001</v>
      </c>
      <c r="AB45" s="176">
        <v>145.30000000000001</v>
      </c>
      <c r="AC45" s="176">
        <v>233.6</v>
      </c>
      <c r="AD45" s="176"/>
      <c r="AE45" s="176">
        <f>220.9+170.6</f>
        <v>391.5</v>
      </c>
      <c r="AF45" s="346">
        <f t="shared" si="15"/>
        <v>1875.6999999999998</v>
      </c>
    </row>
    <row r="46" spans="1:32" s="378" customFormat="1" ht="70.5" customHeight="1" outlineLevel="7" x14ac:dyDescent="0.25">
      <c r="A46" s="8" t="s">
        <v>39</v>
      </c>
      <c r="B46" s="9" t="s">
        <v>119</v>
      </c>
      <c r="C46" s="10" t="s">
        <v>328</v>
      </c>
      <c r="D46" s="68"/>
      <c r="E46" s="68"/>
      <c r="F46" s="176"/>
      <c r="G46" s="176"/>
      <c r="H46" s="176"/>
      <c r="I46" s="176"/>
      <c r="J46" s="176">
        <v>813.6</v>
      </c>
      <c r="K46" s="176">
        <v>71.599999999999994</v>
      </c>
      <c r="L46" s="176"/>
      <c r="M46" s="174"/>
      <c r="N46" s="176"/>
      <c r="O46" s="176"/>
      <c r="P46" s="174"/>
      <c r="Q46" s="174"/>
      <c r="R46" s="176">
        <f t="shared" si="14"/>
        <v>885.2</v>
      </c>
      <c r="S46" s="324">
        <v>837.5</v>
      </c>
      <c r="T46" s="176"/>
      <c r="U46" s="174"/>
      <c r="V46" s="176"/>
      <c r="W46" s="176"/>
      <c r="X46" s="176"/>
      <c r="Y46" s="176">
        <v>537.29999999999995</v>
      </c>
      <c r="Z46" s="174">
        <v>116.9</v>
      </c>
      <c r="AA46" s="176">
        <v>183.3</v>
      </c>
      <c r="AB46" s="176"/>
      <c r="AC46" s="176"/>
      <c r="AD46" s="176"/>
      <c r="AE46" s="176"/>
      <c r="AF46" s="346">
        <f t="shared" si="15"/>
        <v>837.5</v>
      </c>
    </row>
    <row r="47" spans="1:32" s="378" customFormat="1" ht="67.5" customHeight="1" outlineLevel="7" x14ac:dyDescent="0.25">
      <c r="A47" s="8" t="s">
        <v>40</v>
      </c>
      <c r="B47" s="9" t="s">
        <v>120</v>
      </c>
      <c r="C47" s="10" t="s">
        <v>41</v>
      </c>
      <c r="D47" s="68"/>
      <c r="E47" s="68"/>
      <c r="F47" s="176"/>
      <c r="G47" s="176"/>
      <c r="H47" s="176"/>
      <c r="I47" s="176">
        <v>282.89999999999998</v>
      </c>
      <c r="J47" s="176">
        <v>68.2</v>
      </c>
      <c r="K47" s="176">
        <v>-71.599999999999994</v>
      </c>
      <c r="L47" s="176"/>
      <c r="M47" s="174"/>
      <c r="N47" s="174"/>
      <c r="O47" s="176"/>
      <c r="P47" s="174"/>
      <c r="Q47" s="174"/>
      <c r="R47" s="176">
        <f t="shared" si="14"/>
        <v>279.5</v>
      </c>
      <c r="S47" s="324">
        <v>1752.3</v>
      </c>
      <c r="T47" s="176"/>
      <c r="U47" s="174"/>
      <c r="V47" s="176"/>
      <c r="W47" s="176"/>
      <c r="X47" s="176"/>
      <c r="Y47" s="176">
        <v>1485.6</v>
      </c>
      <c r="Z47" s="174">
        <v>-116.9</v>
      </c>
      <c r="AA47" s="176">
        <v>383.6</v>
      </c>
      <c r="AB47" s="176"/>
      <c r="AC47" s="176"/>
      <c r="AD47" s="176"/>
      <c r="AE47" s="176"/>
      <c r="AF47" s="346">
        <f t="shared" si="15"/>
        <v>1752.2999999999997</v>
      </c>
    </row>
    <row r="48" spans="1:32" s="378" customFormat="1" ht="76.5" customHeight="1" outlineLevel="7" x14ac:dyDescent="0.25">
      <c r="A48" s="8" t="s">
        <v>42</v>
      </c>
      <c r="B48" s="9" t="s">
        <v>44</v>
      </c>
      <c r="C48" s="10" t="s">
        <v>43</v>
      </c>
      <c r="D48" s="68"/>
      <c r="E48" s="68"/>
      <c r="F48" s="174"/>
      <c r="G48" s="174"/>
      <c r="H48" s="176"/>
      <c r="I48" s="174"/>
      <c r="J48" s="176">
        <v>237.2</v>
      </c>
      <c r="K48" s="174"/>
      <c r="L48" s="176"/>
      <c r="M48" s="174"/>
      <c r="N48" s="174"/>
      <c r="O48" s="176"/>
      <c r="P48" s="174"/>
      <c r="Q48" s="174"/>
      <c r="R48" s="176">
        <f t="shared" si="14"/>
        <v>237.2</v>
      </c>
      <c r="S48" s="324">
        <v>337.9</v>
      </c>
      <c r="T48" s="176"/>
      <c r="U48" s="174"/>
      <c r="V48" s="176">
        <f>1113.9-776</f>
        <v>337.90000000000009</v>
      </c>
      <c r="W48" s="176">
        <v>154.19999999999999</v>
      </c>
      <c r="X48" s="176">
        <v>-154.19999999999999</v>
      </c>
      <c r="Y48" s="176"/>
      <c r="Z48" s="174"/>
      <c r="AA48" s="176"/>
      <c r="AB48" s="176"/>
      <c r="AC48" s="176"/>
      <c r="AD48" s="176"/>
      <c r="AE48" s="176">
        <v>0.2</v>
      </c>
      <c r="AF48" s="346">
        <v>337.9</v>
      </c>
    </row>
    <row r="49" spans="1:32" s="378" customFormat="1" ht="89.25" customHeight="1" outlineLevel="7" x14ac:dyDescent="0.25">
      <c r="A49" s="8" t="s">
        <v>45</v>
      </c>
      <c r="B49" s="9" t="s">
        <v>121</v>
      </c>
      <c r="C49" s="10" t="s">
        <v>46</v>
      </c>
      <c r="D49" s="68"/>
      <c r="E49" s="68"/>
      <c r="F49" s="174"/>
      <c r="G49" s="174"/>
      <c r="H49" s="176"/>
      <c r="I49" s="174"/>
      <c r="J49" s="176">
        <v>651.79999999999995</v>
      </c>
      <c r="K49" s="174"/>
      <c r="L49" s="176"/>
      <c r="M49" s="174"/>
      <c r="N49" s="174"/>
      <c r="O49" s="176"/>
      <c r="P49" s="174"/>
      <c r="Q49" s="174"/>
      <c r="R49" s="176">
        <f t="shared" si="14"/>
        <v>651.79999999999995</v>
      </c>
      <c r="S49" s="324">
        <v>983.3</v>
      </c>
      <c r="T49" s="176"/>
      <c r="U49" s="174"/>
      <c r="V49" s="176">
        <v>776</v>
      </c>
      <c r="W49" s="176">
        <v>53.1</v>
      </c>
      <c r="X49" s="176">
        <v>154.19999999999999</v>
      </c>
      <c r="Y49" s="176"/>
      <c r="Z49" s="174"/>
      <c r="AA49" s="176"/>
      <c r="AB49" s="176"/>
      <c r="AC49" s="176"/>
      <c r="AD49" s="176"/>
      <c r="AE49" s="176"/>
      <c r="AF49" s="346">
        <f t="shared" ref="AF49:AF72" si="16">T49+U49+V49+W49+X49+Y49+Z49+AA49+AB49+AE49+AD49+AC49</f>
        <v>983.3</v>
      </c>
    </row>
    <row r="50" spans="1:32" s="378" customFormat="1" ht="46.5" customHeight="1" outlineLevel="7" x14ac:dyDescent="0.25">
      <c r="A50" s="8"/>
      <c r="B50" s="9" t="s">
        <v>226</v>
      </c>
      <c r="C50" s="10" t="s">
        <v>253</v>
      </c>
      <c r="D50" s="68"/>
      <c r="E50" s="68"/>
      <c r="F50" s="174"/>
      <c r="G50" s="176"/>
      <c r="H50" s="176">
        <v>43.6</v>
      </c>
      <c r="I50" s="176">
        <v>100</v>
      </c>
      <c r="J50" s="176"/>
      <c r="K50" s="174"/>
      <c r="L50" s="176"/>
      <c r="M50" s="174"/>
      <c r="N50" s="174"/>
      <c r="O50" s="176"/>
      <c r="P50" s="174"/>
      <c r="Q50" s="174"/>
      <c r="R50" s="176">
        <f t="shared" si="14"/>
        <v>143.6</v>
      </c>
      <c r="S50" s="324">
        <v>32.1</v>
      </c>
      <c r="T50" s="176"/>
      <c r="U50" s="174"/>
      <c r="V50" s="176">
        <v>32.1</v>
      </c>
      <c r="W50" s="176"/>
      <c r="X50" s="176"/>
      <c r="Y50" s="176"/>
      <c r="Z50" s="174"/>
      <c r="AA50" s="176"/>
      <c r="AB50" s="176"/>
      <c r="AC50" s="176"/>
      <c r="AD50" s="176"/>
      <c r="AE50" s="176"/>
      <c r="AF50" s="346">
        <f t="shared" si="16"/>
        <v>32.1</v>
      </c>
    </row>
    <row r="51" spans="1:32" s="378" customFormat="1" ht="46.5" customHeight="1" outlineLevel="7" x14ac:dyDescent="0.25">
      <c r="A51" s="8"/>
      <c r="B51" s="9" t="s">
        <v>225</v>
      </c>
      <c r="C51" s="10" t="s">
        <v>52</v>
      </c>
      <c r="D51" s="68"/>
      <c r="E51" s="68"/>
      <c r="F51" s="174"/>
      <c r="G51" s="176"/>
      <c r="H51" s="176">
        <v>13.7</v>
      </c>
      <c r="I51" s="176">
        <v>31.6</v>
      </c>
      <c r="J51" s="174"/>
      <c r="K51" s="174"/>
      <c r="L51" s="176"/>
      <c r="M51" s="174"/>
      <c r="N51" s="174"/>
      <c r="O51" s="176"/>
      <c r="P51" s="174"/>
      <c r="Q51" s="174"/>
      <c r="R51" s="176">
        <f t="shared" si="14"/>
        <v>45.3</v>
      </c>
      <c r="S51" s="324">
        <v>10.1</v>
      </c>
      <c r="T51" s="176"/>
      <c r="U51" s="174"/>
      <c r="V51" s="176">
        <f>42.2-32.1</f>
        <v>10.100000000000001</v>
      </c>
      <c r="W51" s="176"/>
      <c r="X51" s="176"/>
      <c r="Y51" s="176"/>
      <c r="Z51" s="174"/>
      <c r="AA51" s="176"/>
      <c r="AB51" s="176"/>
      <c r="AC51" s="176"/>
      <c r="AD51" s="176"/>
      <c r="AE51" s="176"/>
      <c r="AF51" s="346">
        <f t="shared" si="16"/>
        <v>10.100000000000001</v>
      </c>
    </row>
    <row r="52" spans="1:32" s="378" customFormat="1" ht="44.25" customHeight="1" outlineLevel="7" x14ac:dyDescent="0.25">
      <c r="A52" s="8" t="s">
        <v>47</v>
      </c>
      <c r="B52" s="9" t="s">
        <v>123</v>
      </c>
      <c r="C52" s="10" t="s">
        <v>254</v>
      </c>
      <c r="D52" s="68"/>
      <c r="E52" s="68"/>
      <c r="F52" s="176"/>
      <c r="G52" s="176"/>
      <c r="H52" s="176"/>
      <c r="I52" s="176"/>
      <c r="J52" s="176"/>
      <c r="K52" s="176">
        <v>2029.6</v>
      </c>
      <c r="L52" s="176"/>
      <c r="M52" s="174">
        <v>1430.7</v>
      </c>
      <c r="N52" s="176">
        <v>0.1</v>
      </c>
      <c r="O52" s="176"/>
      <c r="P52" s="174"/>
      <c r="Q52" s="174"/>
      <c r="R52" s="176">
        <f t="shared" si="14"/>
        <v>3460.4</v>
      </c>
      <c r="S52" s="324">
        <v>3411.3</v>
      </c>
      <c r="T52" s="176"/>
      <c r="U52" s="174"/>
      <c r="V52" s="176"/>
      <c r="W52" s="176"/>
      <c r="X52" s="176"/>
      <c r="Y52" s="176"/>
      <c r="Z52" s="174"/>
      <c r="AA52" s="176"/>
      <c r="AB52" s="176"/>
      <c r="AC52" s="176">
        <v>1537.2</v>
      </c>
      <c r="AD52" s="176">
        <v>1874.1</v>
      </c>
      <c r="AE52" s="176"/>
      <c r="AF52" s="346">
        <f t="shared" si="16"/>
        <v>3411.3</v>
      </c>
    </row>
    <row r="53" spans="1:32" s="378" customFormat="1" ht="45.75" outlineLevel="7" thickBot="1" x14ac:dyDescent="0.3">
      <c r="A53" s="8" t="s">
        <v>48</v>
      </c>
      <c r="B53" s="239" t="s">
        <v>122</v>
      </c>
      <c r="C53" s="282" t="s">
        <v>49</v>
      </c>
      <c r="D53" s="283"/>
      <c r="E53" s="283"/>
      <c r="F53" s="261"/>
      <c r="G53" s="261"/>
      <c r="H53" s="261"/>
      <c r="I53" s="261"/>
      <c r="J53" s="261"/>
      <c r="K53" s="261">
        <v>84.6</v>
      </c>
      <c r="L53" s="261"/>
      <c r="M53" s="260">
        <v>59.6</v>
      </c>
      <c r="N53" s="260"/>
      <c r="O53" s="261"/>
      <c r="P53" s="260"/>
      <c r="Q53" s="260"/>
      <c r="R53" s="261">
        <f t="shared" si="14"/>
        <v>144.19999999999999</v>
      </c>
      <c r="S53" s="329">
        <v>142.1</v>
      </c>
      <c r="T53" s="261"/>
      <c r="U53" s="260"/>
      <c r="V53" s="261"/>
      <c r="W53" s="261"/>
      <c r="X53" s="261"/>
      <c r="Y53" s="261"/>
      <c r="Z53" s="260"/>
      <c r="AA53" s="261"/>
      <c r="AB53" s="261"/>
      <c r="AC53" s="261">
        <v>2016.3</v>
      </c>
      <c r="AD53" s="261">
        <v>-1874.2</v>
      </c>
      <c r="AE53" s="261"/>
      <c r="AF53" s="346">
        <f t="shared" si="16"/>
        <v>142.09999999999991</v>
      </c>
    </row>
    <row r="54" spans="1:32" s="378" customFormat="1" ht="48.75" customHeight="1" outlineLevel="7" x14ac:dyDescent="0.25">
      <c r="A54" s="8"/>
      <c r="B54" s="9" t="s">
        <v>383</v>
      </c>
      <c r="C54" s="10" t="s">
        <v>348</v>
      </c>
      <c r="D54" s="68"/>
      <c r="E54" s="68"/>
      <c r="F54" s="176"/>
      <c r="G54" s="253"/>
      <c r="H54" s="253">
        <v>2302.9</v>
      </c>
      <c r="I54" s="253">
        <v>148.19999999999999</v>
      </c>
      <c r="J54" s="253">
        <f>3300.9+0.1</f>
        <v>3301</v>
      </c>
      <c r="K54" s="253">
        <f>14276.2+3973.3</f>
        <v>18249.5</v>
      </c>
      <c r="L54" s="253">
        <f>5214.8+10215</f>
        <v>15429.8</v>
      </c>
      <c r="M54" s="252">
        <f>1646.2+27931.3</f>
        <v>29577.5</v>
      </c>
      <c r="N54" s="253">
        <f>17210-1646.1</f>
        <v>15563.9</v>
      </c>
      <c r="O54" s="253">
        <f>341.5+594</f>
        <v>935.5</v>
      </c>
      <c r="P54" s="253">
        <v>18885.8</v>
      </c>
      <c r="Q54" s="253">
        <f>782.2+3639</f>
        <v>4421.2</v>
      </c>
      <c r="R54" s="253">
        <f t="shared" si="14"/>
        <v>108815.29999999999</v>
      </c>
      <c r="S54" s="324">
        <v>18588.8</v>
      </c>
      <c r="T54" s="253"/>
      <c r="U54" s="253"/>
      <c r="V54" s="253"/>
      <c r="W54" s="253">
        <v>2727.8</v>
      </c>
      <c r="X54" s="253">
        <v>0.1</v>
      </c>
      <c r="Y54" s="253">
        <v>159</v>
      </c>
      <c r="Z54" s="253">
        <v>178.2</v>
      </c>
      <c r="AA54" s="253">
        <v>5756.7</v>
      </c>
      <c r="AB54" s="253"/>
      <c r="AC54" s="253">
        <v>1468.8</v>
      </c>
      <c r="AD54" s="253">
        <v>3445.7</v>
      </c>
      <c r="AE54" s="253">
        <v>3810.9</v>
      </c>
      <c r="AF54" s="346">
        <f t="shared" si="16"/>
        <v>17547.199999999997</v>
      </c>
    </row>
    <row r="55" spans="1:32" s="378" customFormat="1" ht="75" customHeight="1" outlineLevel="7" x14ac:dyDescent="0.25">
      <c r="A55" s="8"/>
      <c r="B55" s="340" t="s">
        <v>462</v>
      </c>
      <c r="C55" s="10" t="s">
        <v>463</v>
      </c>
      <c r="D55" s="68"/>
      <c r="E55" s="68"/>
      <c r="F55" s="176"/>
      <c r="G55" s="176"/>
      <c r="H55" s="176"/>
      <c r="I55" s="176"/>
      <c r="J55" s="176"/>
      <c r="K55" s="176"/>
      <c r="L55" s="176"/>
      <c r="M55" s="174"/>
      <c r="N55" s="176"/>
      <c r="O55" s="176"/>
      <c r="P55" s="176"/>
      <c r="Q55" s="174"/>
      <c r="R55" s="176"/>
      <c r="S55" s="324">
        <v>2881.2</v>
      </c>
      <c r="T55" s="176"/>
      <c r="U55" s="176"/>
      <c r="V55" s="176"/>
      <c r="W55" s="176">
        <v>2825</v>
      </c>
      <c r="X55" s="176">
        <v>56.1</v>
      </c>
      <c r="Y55" s="176">
        <v>0.1</v>
      </c>
      <c r="Z55" s="176"/>
      <c r="AA55" s="176"/>
      <c r="AB55" s="176"/>
      <c r="AC55" s="176"/>
      <c r="AD55" s="176"/>
      <c r="AE55" s="176"/>
      <c r="AF55" s="346">
        <f t="shared" si="16"/>
        <v>2881.2</v>
      </c>
    </row>
    <row r="56" spans="1:32" s="378" customFormat="1" ht="28.5" customHeight="1" outlineLevel="7" x14ac:dyDescent="0.25">
      <c r="A56" s="8"/>
      <c r="B56" s="9" t="s">
        <v>446</v>
      </c>
      <c r="C56" s="10" t="s">
        <v>301</v>
      </c>
      <c r="D56" s="68"/>
      <c r="E56" s="68"/>
      <c r="F56" s="176"/>
      <c r="G56" s="176"/>
      <c r="H56" s="176"/>
      <c r="I56" s="176"/>
      <c r="J56" s="176"/>
      <c r="K56" s="176"/>
      <c r="L56" s="176"/>
      <c r="M56" s="174"/>
      <c r="N56" s="176"/>
      <c r="O56" s="176"/>
      <c r="P56" s="176"/>
      <c r="Q56" s="174"/>
      <c r="R56" s="176"/>
      <c r="S56" s="324">
        <v>600</v>
      </c>
      <c r="T56" s="176"/>
      <c r="U56" s="176"/>
      <c r="V56" s="176"/>
      <c r="W56" s="176"/>
      <c r="X56" s="176"/>
      <c r="Y56" s="176"/>
      <c r="Z56" s="176">
        <v>279.60000000000002</v>
      </c>
      <c r="AA56" s="176"/>
      <c r="AB56" s="176"/>
      <c r="AC56" s="176">
        <v>-0.1</v>
      </c>
      <c r="AD56" s="176">
        <v>320.5</v>
      </c>
      <c r="AE56" s="176"/>
      <c r="AF56" s="346">
        <f t="shared" si="16"/>
        <v>600</v>
      </c>
    </row>
    <row r="57" spans="1:32" s="378" customFormat="1" ht="30" outlineLevel="7" x14ac:dyDescent="0.25">
      <c r="A57" s="8" t="s">
        <v>50</v>
      </c>
      <c r="B57" s="180" t="s">
        <v>124</v>
      </c>
      <c r="C57" s="10" t="s">
        <v>51</v>
      </c>
      <c r="D57" s="68"/>
      <c r="E57" s="68"/>
      <c r="F57" s="176">
        <v>117.4</v>
      </c>
      <c r="G57" s="176">
        <v>117.5</v>
      </c>
      <c r="H57" s="176">
        <v>205.5</v>
      </c>
      <c r="I57" s="176">
        <v>117.4</v>
      </c>
      <c r="J57" s="176">
        <v>117.4</v>
      </c>
      <c r="K57" s="176">
        <v>250.5</v>
      </c>
      <c r="L57" s="176">
        <v>162.30000000000001</v>
      </c>
      <c r="M57" s="174">
        <v>162.4</v>
      </c>
      <c r="N57" s="176">
        <v>250.4</v>
      </c>
      <c r="O57" s="176">
        <v>162.4</v>
      </c>
      <c r="P57" s="176">
        <v>162.4</v>
      </c>
      <c r="Q57" s="176">
        <v>250.4</v>
      </c>
      <c r="R57" s="176">
        <f>F57+G57+H57+I57+J57+K57+L57+M57+N57+O57+P57+Q57</f>
        <v>2076.0000000000005</v>
      </c>
      <c r="S57" s="324">
        <v>2385.6</v>
      </c>
      <c r="T57" s="176">
        <v>202.4</v>
      </c>
      <c r="U57" s="176">
        <v>164.9</v>
      </c>
      <c r="V57" s="176">
        <v>202.5</v>
      </c>
      <c r="W57" s="176">
        <v>196.4</v>
      </c>
      <c r="X57" s="176">
        <v>196.4</v>
      </c>
      <c r="Y57" s="176">
        <v>196.4</v>
      </c>
      <c r="Z57" s="176">
        <v>189.1</v>
      </c>
      <c r="AA57" s="176">
        <v>189</v>
      </c>
      <c r="AB57" s="176">
        <v>189.1</v>
      </c>
      <c r="AC57" s="176">
        <v>207.3</v>
      </c>
      <c r="AD57" s="176">
        <v>207.3</v>
      </c>
      <c r="AE57" s="176">
        <v>244.8</v>
      </c>
      <c r="AF57" s="346">
        <f t="shared" si="16"/>
        <v>2385.6</v>
      </c>
    </row>
    <row r="58" spans="1:32" s="19" customFormat="1" ht="50.25" customHeight="1" outlineLevel="2" x14ac:dyDescent="0.25">
      <c r="A58" s="18"/>
      <c r="B58" s="9" t="s">
        <v>256</v>
      </c>
      <c r="C58" s="20" t="s">
        <v>255</v>
      </c>
      <c r="D58" s="171"/>
      <c r="E58" s="171"/>
      <c r="F58" s="176"/>
      <c r="G58" s="176"/>
      <c r="H58" s="176"/>
      <c r="I58" s="176"/>
      <c r="J58" s="176"/>
      <c r="K58" s="176"/>
      <c r="L58" s="176"/>
      <c r="M58" s="174"/>
      <c r="N58" s="176"/>
      <c r="O58" s="176"/>
      <c r="P58" s="176"/>
      <c r="Q58" s="176">
        <v>1104.5999999999999</v>
      </c>
      <c r="R58" s="176">
        <f>F58+G58+H58+I58+J58+K58+L58+M58+N58+O58+P58+Q58</f>
        <v>1104.5999999999999</v>
      </c>
      <c r="S58" s="324">
        <v>1036.3</v>
      </c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>
        <v>1036.0999999999999</v>
      </c>
      <c r="AF58" s="346">
        <f t="shared" si="16"/>
        <v>1036.0999999999999</v>
      </c>
    </row>
    <row r="59" spans="1:32" s="378" customFormat="1" ht="30" outlineLevel="7" x14ac:dyDescent="0.25">
      <c r="A59" s="8" t="s">
        <v>50</v>
      </c>
      <c r="B59" s="9" t="s">
        <v>371</v>
      </c>
      <c r="C59" s="10" t="s">
        <v>349</v>
      </c>
      <c r="D59" s="68"/>
      <c r="E59" s="68"/>
      <c r="F59" s="176"/>
      <c r="G59" s="176"/>
      <c r="H59" s="176"/>
      <c r="I59" s="176"/>
      <c r="J59" s="176"/>
      <c r="K59" s="176"/>
      <c r="L59" s="176"/>
      <c r="M59" s="174">
        <v>4620.3</v>
      </c>
      <c r="N59" s="176">
        <v>539.6</v>
      </c>
      <c r="O59" s="176">
        <v>404.9</v>
      </c>
      <c r="P59" s="176">
        <f>1510.4+5700.9</f>
        <v>7211.2999999999993</v>
      </c>
      <c r="Q59" s="176">
        <v>570</v>
      </c>
      <c r="R59" s="176">
        <f>F59+G59+H59+I59+J59+K59+L59+M59+N59+O59+P59+Q59</f>
        <v>13346.099999999999</v>
      </c>
      <c r="S59" s="324">
        <v>90371.8</v>
      </c>
      <c r="T59" s="176"/>
      <c r="U59" s="176"/>
      <c r="V59" s="176"/>
      <c r="W59" s="176">
        <v>26362.5</v>
      </c>
      <c r="X59" s="176"/>
      <c r="Y59" s="176"/>
      <c r="Z59" s="176"/>
      <c r="AA59" s="176"/>
      <c r="AB59" s="176">
        <v>14351</v>
      </c>
      <c r="AC59" s="176">
        <v>1348.1</v>
      </c>
      <c r="AD59" s="176">
        <v>12261.3</v>
      </c>
      <c r="AE59" s="176">
        <v>11762</v>
      </c>
      <c r="AF59" s="346">
        <f t="shared" si="16"/>
        <v>66084.900000000009</v>
      </c>
    </row>
    <row r="60" spans="1:32" s="378" customFormat="1" ht="45" outlineLevel="7" x14ac:dyDescent="0.25">
      <c r="A60" s="8"/>
      <c r="B60" s="9" t="s">
        <v>433</v>
      </c>
      <c r="C60" s="10" t="s">
        <v>434</v>
      </c>
      <c r="D60" s="68"/>
      <c r="E60" s="68"/>
      <c r="F60" s="176"/>
      <c r="G60" s="176"/>
      <c r="H60" s="176"/>
      <c r="I60" s="176"/>
      <c r="J60" s="176"/>
      <c r="K60" s="176"/>
      <c r="L60" s="176"/>
      <c r="M60" s="174"/>
      <c r="N60" s="176"/>
      <c r="O60" s="176"/>
      <c r="P60" s="176"/>
      <c r="Q60" s="174"/>
      <c r="R60" s="176"/>
      <c r="S60" s="324">
        <v>13700.7</v>
      </c>
      <c r="T60" s="176"/>
      <c r="U60" s="176"/>
      <c r="V60" s="176"/>
      <c r="W60" s="176"/>
      <c r="X60" s="176"/>
      <c r="Y60" s="176"/>
      <c r="Z60" s="176"/>
      <c r="AA60" s="176"/>
      <c r="AB60" s="176"/>
      <c r="AC60" s="176">
        <v>6751.6</v>
      </c>
      <c r="AD60" s="176"/>
      <c r="AE60" s="176">
        <v>6394.2</v>
      </c>
      <c r="AF60" s="346">
        <f t="shared" si="16"/>
        <v>13145.8</v>
      </c>
    </row>
    <row r="61" spans="1:32" s="378" customFormat="1" ht="42.75" customHeight="1" outlineLevel="7" x14ac:dyDescent="0.25">
      <c r="A61" s="8" t="s">
        <v>36</v>
      </c>
      <c r="B61" s="9" t="s">
        <v>116</v>
      </c>
      <c r="C61" s="10" t="s">
        <v>38</v>
      </c>
      <c r="D61" s="68"/>
      <c r="E61" s="68"/>
      <c r="F61" s="176"/>
      <c r="G61" s="176">
        <v>580.1</v>
      </c>
      <c r="H61" s="176"/>
      <c r="I61" s="176">
        <v>580.1</v>
      </c>
      <c r="J61" s="176"/>
      <c r="K61" s="176"/>
      <c r="L61" s="176">
        <v>580.1</v>
      </c>
      <c r="M61" s="174"/>
      <c r="N61" s="176">
        <v>-0.1</v>
      </c>
      <c r="O61" s="176">
        <v>580.1</v>
      </c>
      <c r="P61" s="176"/>
      <c r="Q61" s="174"/>
      <c r="R61" s="176">
        <f>F61+G61+H61+I61+J61+K61+L61+M61+N61+O61+P61+Q61</f>
        <v>2320.3000000000002</v>
      </c>
      <c r="S61" s="324">
        <v>2344.5</v>
      </c>
      <c r="T61" s="176"/>
      <c r="U61" s="176"/>
      <c r="V61" s="176">
        <v>781.5</v>
      </c>
      <c r="W61" s="176">
        <v>781.5</v>
      </c>
      <c r="X61" s="176"/>
      <c r="Y61" s="176"/>
      <c r="Z61" s="176"/>
      <c r="AA61" s="176"/>
      <c r="AB61" s="176"/>
      <c r="AC61" s="176">
        <v>781.5</v>
      </c>
      <c r="AD61" s="176"/>
      <c r="AE61" s="176">
        <v>-827.9</v>
      </c>
      <c r="AF61" s="346">
        <f t="shared" si="16"/>
        <v>1516.6</v>
      </c>
    </row>
    <row r="62" spans="1:32" s="378" customFormat="1" ht="86.25" customHeight="1" outlineLevel="7" x14ac:dyDescent="0.25">
      <c r="A62" s="8"/>
      <c r="B62" s="313" t="s">
        <v>447</v>
      </c>
      <c r="C62" s="10" t="s">
        <v>69</v>
      </c>
      <c r="D62" s="68"/>
      <c r="E62" s="68"/>
      <c r="F62" s="176"/>
      <c r="G62" s="176"/>
      <c r="H62" s="176"/>
      <c r="I62" s="176"/>
      <c r="J62" s="176"/>
      <c r="K62" s="176"/>
      <c r="L62" s="176"/>
      <c r="M62" s="174"/>
      <c r="N62" s="176"/>
      <c r="O62" s="176"/>
      <c r="P62" s="176"/>
      <c r="Q62" s="174"/>
      <c r="R62" s="176"/>
      <c r="S62" s="324">
        <v>3196.1</v>
      </c>
      <c r="T62" s="176"/>
      <c r="U62" s="176"/>
      <c r="V62" s="176">
        <v>1035.2</v>
      </c>
      <c r="W62" s="176">
        <v>1035.2</v>
      </c>
      <c r="X62" s="176"/>
      <c r="Y62" s="176"/>
      <c r="Z62" s="176"/>
      <c r="AA62" s="176"/>
      <c r="AB62" s="176"/>
      <c r="AC62" s="176">
        <v>1035.2</v>
      </c>
      <c r="AD62" s="176"/>
      <c r="AE62" s="176">
        <v>90.5</v>
      </c>
      <c r="AF62" s="346">
        <f t="shared" si="16"/>
        <v>3196.1000000000004</v>
      </c>
    </row>
    <row r="63" spans="1:32" s="378" customFormat="1" ht="30" outlineLevel="7" x14ac:dyDescent="0.25">
      <c r="A63" s="8" t="s">
        <v>35</v>
      </c>
      <c r="B63" s="226" t="s">
        <v>258</v>
      </c>
      <c r="C63" s="10" t="s">
        <v>257</v>
      </c>
      <c r="D63" s="68"/>
      <c r="E63" s="68"/>
      <c r="F63" s="176"/>
      <c r="G63" s="176"/>
      <c r="H63" s="176"/>
      <c r="I63" s="176"/>
      <c r="J63" s="176">
        <v>588.20000000000005</v>
      </c>
      <c r="K63" s="176">
        <v>759.8</v>
      </c>
      <c r="L63" s="176">
        <v>3145.5</v>
      </c>
      <c r="M63" s="174"/>
      <c r="N63" s="176"/>
      <c r="O63" s="176"/>
      <c r="P63" s="176"/>
      <c r="Q63" s="174"/>
      <c r="R63" s="176">
        <f>F63+G63+H63+I63+J63+K63+L63+M63+N63+O63+P63+Q63</f>
        <v>4493.5</v>
      </c>
      <c r="S63" s="324">
        <v>6817.2</v>
      </c>
      <c r="T63" s="176"/>
      <c r="U63" s="176"/>
      <c r="V63" s="176"/>
      <c r="W63" s="176"/>
      <c r="X63" s="176"/>
      <c r="Y63" s="176"/>
      <c r="Z63" s="176">
        <v>2034.4</v>
      </c>
      <c r="AA63" s="176"/>
      <c r="AB63" s="176"/>
      <c r="AC63" s="176">
        <v>4769.8</v>
      </c>
      <c r="AD63" s="176"/>
      <c r="AE63" s="176"/>
      <c r="AF63" s="346">
        <f t="shared" si="16"/>
        <v>6804.2000000000007</v>
      </c>
    </row>
    <row r="64" spans="1:32" s="378" customFormat="1" ht="30" outlineLevel="7" x14ac:dyDescent="0.25">
      <c r="A64" s="8"/>
      <c r="B64" s="9" t="s">
        <v>281</v>
      </c>
      <c r="C64" s="10" t="s">
        <v>350</v>
      </c>
      <c r="D64" s="68"/>
      <c r="E64" s="68"/>
      <c r="F64" s="176"/>
      <c r="G64" s="176"/>
      <c r="H64" s="176"/>
      <c r="I64" s="176"/>
      <c r="J64" s="176"/>
      <c r="K64" s="176"/>
      <c r="L64" s="176"/>
      <c r="M64" s="174"/>
      <c r="N64" s="176"/>
      <c r="O64" s="176"/>
      <c r="P64" s="176"/>
      <c r="Q64" s="176">
        <v>1818</v>
      </c>
      <c r="R64" s="176">
        <f>F64+G64+H64+I64+J64+K64+L64+M64+N64+O64+P64+Q64</f>
        <v>1818</v>
      </c>
      <c r="S64" s="324">
        <v>2070.6999999999998</v>
      </c>
      <c r="T64" s="176"/>
      <c r="U64" s="176"/>
      <c r="V64" s="176"/>
      <c r="W64" s="176"/>
      <c r="X64" s="176"/>
      <c r="Y64" s="176"/>
      <c r="Z64" s="176">
        <v>766.9</v>
      </c>
      <c r="AA64" s="176"/>
      <c r="AB64" s="176"/>
      <c r="AC64" s="176"/>
      <c r="AD64" s="176">
        <v>1291.8</v>
      </c>
      <c r="AE64" s="176">
        <v>0.1</v>
      </c>
      <c r="AF64" s="346">
        <f t="shared" si="16"/>
        <v>2058.8000000000002</v>
      </c>
    </row>
    <row r="65" spans="1:32" ht="43.5" customHeight="1" x14ac:dyDescent="0.25">
      <c r="B65" s="182" t="s">
        <v>268</v>
      </c>
      <c r="C65" s="10" t="s">
        <v>283</v>
      </c>
      <c r="F65" s="176"/>
      <c r="G65" s="176"/>
      <c r="H65" s="176"/>
      <c r="I65" s="176"/>
      <c r="J65" s="176"/>
      <c r="K65" s="176"/>
      <c r="L65" s="176">
        <v>1215.4000000000001</v>
      </c>
      <c r="M65" s="174"/>
      <c r="N65" s="176"/>
      <c r="O65" s="176">
        <v>588.70000000000005</v>
      </c>
      <c r="P65" s="176">
        <v>673.2</v>
      </c>
      <c r="Q65" s="176">
        <v>106.3</v>
      </c>
      <c r="R65" s="176">
        <f>F65+G65+H65+I65+J65+K65+L65+M65+N65+O65+P65+Q65</f>
        <v>2583.6000000000004</v>
      </c>
      <c r="S65" s="324">
        <v>2395.8000000000002</v>
      </c>
      <c r="T65" s="176"/>
      <c r="U65" s="176"/>
      <c r="V65" s="176"/>
      <c r="W65" s="176"/>
      <c r="X65" s="176"/>
      <c r="Y65" s="176">
        <v>1167.4000000000001</v>
      </c>
      <c r="Z65" s="176"/>
      <c r="AA65" s="176"/>
      <c r="AB65" s="176">
        <v>1224.7</v>
      </c>
      <c r="AC65" s="176"/>
      <c r="AD65" s="176"/>
      <c r="AE65" s="176"/>
      <c r="AF65" s="346">
        <f t="shared" si="16"/>
        <v>2392.1000000000004</v>
      </c>
    </row>
    <row r="66" spans="1:32" ht="79.5" customHeight="1" x14ac:dyDescent="0.25">
      <c r="B66" s="2" t="s">
        <v>464</v>
      </c>
      <c r="C66" s="10" t="s">
        <v>465</v>
      </c>
      <c r="F66" s="176"/>
      <c r="G66" s="176"/>
      <c r="H66" s="176"/>
      <c r="I66" s="176"/>
      <c r="J66" s="176"/>
      <c r="K66" s="176"/>
      <c r="L66" s="176"/>
      <c r="M66" s="174"/>
      <c r="N66" s="176"/>
      <c r="O66" s="176"/>
      <c r="P66" s="176"/>
      <c r="Q66" s="176"/>
      <c r="R66" s="176"/>
      <c r="S66" s="324">
        <v>35187.199999999997</v>
      </c>
      <c r="T66" s="176"/>
      <c r="U66" s="176"/>
      <c r="V66" s="176"/>
      <c r="W66" s="176"/>
      <c r="X66" s="176"/>
      <c r="Y66" s="176">
        <v>7037.4</v>
      </c>
      <c r="Z66" s="176"/>
      <c r="AA66" s="176"/>
      <c r="AB66" s="176">
        <v>6069.7</v>
      </c>
      <c r="AC66" s="176">
        <v>8806.67</v>
      </c>
      <c r="AD66" s="176"/>
      <c r="AE66" s="176">
        <v>13273.4</v>
      </c>
      <c r="AF66" s="346">
        <v>35187.199999999997</v>
      </c>
    </row>
    <row r="67" spans="1:32" s="378" customFormat="1" ht="30" outlineLevel="7" x14ac:dyDescent="0.25">
      <c r="A67" s="8"/>
      <c r="B67" s="223" t="s">
        <v>351</v>
      </c>
      <c r="C67" s="10" t="s">
        <v>262</v>
      </c>
      <c r="D67" s="68"/>
      <c r="E67" s="68"/>
      <c r="F67" s="176"/>
      <c r="G67" s="176"/>
      <c r="H67" s="176"/>
      <c r="I67" s="176"/>
      <c r="J67" s="176">
        <v>188.1</v>
      </c>
      <c r="K67" s="176">
        <v>1504.8</v>
      </c>
      <c r="L67" s="176"/>
      <c r="M67" s="174"/>
      <c r="N67" s="176"/>
      <c r="O67" s="176"/>
      <c r="P67" s="174"/>
      <c r="Q67" s="174"/>
      <c r="R67" s="176">
        <f>F67+G67+H67+I67+J67+K67+L67+M67+N67+O67+P67+Q67</f>
        <v>1692.8999999999999</v>
      </c>
      <c r="S67" s="324">
        <v>595.1</v>
      </c>
      <c r="T67" s="176"/>
      <c r="U67" s="176"/>
      <c r="V67" s="176"/>
      <c r="W67" s="176"/>
      <c r="X67" s="176"/>
      <c r="Y67" s="176"/>
      <c r="Z67" s="176">
        <v>177.8</v>
      </c>
      <c r="AA67" s="176"/>
      <c r="AB67" s="176">
        <v>414.7</v>
      </c>
      <c r="AC67" s="176"/>
      <c r="AD67" s="176"/>
      <c r="AE67" s="176"/>
      <c r="AF67" s="346">
        <f t="shared" si="16"/>
        <v>592.5</v>
      </c>
    </row>
    <row r="68" spans="1:32" s="378" customFormat="1" ht="75.75" customHeight="1" outlineLevel="7" x14ac:dyDescent="0.25">
      <c r="A68" s="8"/>
      <c r="B68" s="9" t="s">
        <v>353</v>
      </c>
      <c r="C68" s="10" t="s">
        <v>352</v>
      </c>
      <c r="D68" s="68"/>
      <c r="E68" s="68"/>
      <c r="F68" s="174"/>
      <c r="G68" s="174"/>
      <c r="H68" s="176"/>
      <c r="I68" s="174"/>
      <c r="J68" s="174">
        <v>1338.3</v>
      </c>
      <c r="K68" s="174"/>
      <c r="L68" s="176">
        <v>1338.3</v>
      </c>
      <c r="M68" s="174"/>
      <c r="N68" s="176"/>
      <c r="O68" s="176"/>
      <c r="P68" s="174"/>
      <c r="Q68" s="174"/>
      <c r="R68" s="176">
        <f>F68+G68+H68+I68+J68+K68+L68+M68+N68+O68+P68+Q68</f>
        <v>2676.6</v>
      </c>
      <c r="S68" s="324">
        <v>6022.5</v>
      </c>
      <c r="T68" s="176"/>
      <c r="U68" s="176"/>
      <c r="V68" s="176"/>
      <c r="W68" s="176"/>
      <c r="X68" s="176">
        <v>2007.5</v>
      </c>
      <c r="Y68" s="176"/>
      <c r="Z68" s="176">
        <v>2007.5</v>
      </c>
      <c r="AA68" s="176"/>
      <c r="AB68" s="176">
        <v>2007.5</v>
      </c>
      <c r="AC68" s="176"/>
      <c r="AD68" s="176"/>
      <c r="AE68" s="176"/>
      <c r="AF68" s="346">
        <f t="shared" si="16"/>
        <v>6022.5</v>
      </c>
    </row>
    <row r="69" spans="1:32" s="378" customFormat="1" ht="50.25" customHeight="1" outlineLevel="7" x14ac:dyDescent="0.25">
      <c r="A69" s="8"/>
      <c r="B69" s="9" t="s">
        <v>215</v>
      </c>
      <c r="C69" s="10" t="s">
        <v>214</v>
      </c>
      <c r="D69" s="68"/>
      <c r="E69" s="68"/>
      <c r="F69" s="174"/>
      <c r="G69" s="174"/>
      <c r="H69" s="176"/>
      <c r="I69" s="174"/>
      <c r="J69" s="174"/>
      <c r="K69" s="174"/>
      <c r="L69" s="176"/>
      <c r="M69" s="174">
        <v>744.9</v>
      </c>
      <c r="N69" s="176">
        <v>6427</v>
      </c>
      <c r="O69" s="176">
        <v>5830</v>
      </c>
      <c r="P69" s="174"/>
      <c r="Q69" s="174"/>
      <c r="R69" s="176">
        <f>F69+G69+H69+I69+J69+K69+L69+M69+N69+O69+P69+Q69</f>
        <v>13001.9</v>
      </c>
      <c r="S69" s="324">
        <v>21523</v>
      </c>
      <c r="T69" s="176"/>
      <c r="U69" s="176"/>
      <c r="V69" s="176"/>
      <c r="W69" s="176"/>
      <c r="X69" s="176">
        <v>2183.4</v>
      </c>
      <c r="Y69" s="176">
        <v>3396.5</v>
      </c>
      <c r="Z69" s="176">
        <v>904.9</v>
      </c>
      <c r="AA69" s="176">
        <v>1971</v>
      </c>
      <c r="AB69" s="176">
        <v>2732.6</v>
      </c>
      <c r="AC69" s="176"/>
      <c r="AD69" s="176"/>
      <c r="AE69" s="176">
        <v>6186.8</v>
      </c>
      <c r="AF69" s="346">
        <f t="shared" si="16"/>
        <v>17375.2</v>
      </c>
    </row>
    <row r="70" spans="1:32" s="378" customFormat="1" ht="50.25" customHeight="1" outlineLevel="7" x14ac:dyDescent="0.25">
      <c r="A70" s="8"/>
      <c r="B70" s="223" t="s">
        <v>448</v>
      </c>
      <c r="C70" s="10" t="s">
        <v>449</v>
      </c>
      <c r="D70" s="68"/>
      <c r="E70" s="68"/>
      <c r="F70" s="174"/>
      <c r="G70" s="174"/>
      <c r="H70" s="176"/>
      <c r="I70" s="174"/>
      <c r="J70" s="174"/>
      <c r="K70" s="174"/>
      <c r="L70" s="176"/>
      <c r="M70" s="174"/>
      <c r="N70" s="176"/>
      <c r="O70" s="176"/>
      <c r="P70" s="174"/>
      <c r="Q70" s="174"/>
      <c r="R70" s="176"/>
      <c r="S70" s="324">
        <v>3772.8</v>
      </c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346">
        <f t="shared" si="16"/>
        <v>0</v>
      </c>
    </row>
    <row r="71" spans="1:32" s="378" customFormat="1" ht="33" customHeight="1" outlineLevel="7" x14ac:dyDescent="0.25">
      <c r="A71" s="8"/>
      <c r="B71" s="230" t="s">
        <v>267</v>
      </c>
      <c r="C71" s="10" t="s">
        <v>284</v>
      </c>
      <c r="D71" s="68"/>
      <c r="E71" s="68"/>
      <c r="F71" s="174"/>
      <c r="G71" s="174"/>
      <c r="H71" s="176"/>
      <c r="I71" s="174"/>
      <c r="J71" s="174"/>
      <c r="K71" s="174"/>
      <c r="L71" s="176"/>
      <c r="M71" s="174"/>
      <c r="N71" s="176"/>
      <c r="O71" s="176"/>
      <c r="P71" s="174"/>
      <c r="Q71" s="176">
        <v>1616.9</v>
      </c>
      <c r="R71" s="176">
        <f>F71+G71+H71+I71+J71+K71+L71+M71+N71+O71+P71+Q71</f>
        <v>1616.9</v>
      </c>
      <c r="S71" s="324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346">
        <f t="shared" si="16"/>
        <v>0</v>
      </c>
    </row>
    <row r="72" spans="1:32" s="378" customFormat="1" ht="46.5" customHeight="1" outlineLevel="7" x14ac:dyDescent="0.25">
      <c r="A72" s="8"/>
      <c r="B72" s="223" t="s">
        <v>466</v>
      </c>
      <c r="C72" s="10" t="s">
        <v>470</v>
      </c>
      <c r="D72" s="68"/>
      <c r="E72" s="68"/>
      <c r="F72" s="174"/>
      <c r="G72" s="174"/>
      <c r="H72" s="176"/>
      <c r="I72" s="174"/>
      <c r="J72" s="174"/>
      <c r="K72" s="174"/>
      <c r="L72" s="176"/>
      <c r="M72" s="174"/>
      <c r="N72" s="176"/>
      <c r="O72" s="176"/>
      <c r="P72" s="174"/>
      <c r="Q72" s="176"/>
      <c r="R72" s="176"/>
      <c r="S72" s="324">
        <v>1675.6</v>
      </c>
      <c r="T72" s="176"/>
      <c r="U72" s="176"/>
      <c r="V72" s="176"/>
      <c r="W72" s="176"/>
      <c r="X72" s="176">
        <v>162</v>
      </c>
      <c r="Y72" s="176">
        <v>132.30000000000001</v>
      </c>
      <c r="Z72" s="176">
        <v>953.4</v>
      </c>
      <c r="AA72" s="176">
        <v>420.2</v>
      </c>
      <c r="AB72" s="176">
        <v>6.4</v>
      </c>
      <c r="AC72" s="176">
        <v>1.3</v>
      </c>
      <c r="AD72" s="176"/>
      <c r="AE72" s="176"/>
      <c r="AF72" s="346">
        <f t="shared" si="16"/>
        <v>1675.6000000000001</v>
      </c>
    </row>
    <row r="73" spans="1:32" s="378" customFormat="1" ht="24" customHeight="1" outlineLevel="2" x14ac:dyDescent="0.25">
      <c r="A73" s="8" t="s">
        <v>53</v>
      </c>
      <c r="B73" s="22" t="s">
        <v>125</v>
      </c>
      <c r="C73" s="23"/>
      <c r="D73" s="169">
        <v>216489.2</v>
      </c>
      <c r="E73" s="169">
        <v>258762.7</v>
      </c>
      <c r="F73" s="106">
        <f t="shared" ref="F73:AF73" si="17">SUM(F74:F107)</f>
        <v>21509.400000000005</v>
      </c>
      <c r="G73" s="106">
        <f t="shared" si="17"/>
        <v>19603.199999999997</v>
      </c>
      <c r="H73" s="106">
        <f t="shared" si="17"/>
        <v>34869.200000000004</v>
      </c>
      <c r="I73" s="106">
        <f t="shared" si="17"/>
        <v>31013.699999999997</v>
      </c>
      <c r="J73" s="106">
        <f t="shared" si="17"/>
        <v>30987.7</v>
      </c>
      <c r="K73" s="106">
        <f t="shared" si="17"/>
        <v>31015.9</v>
      </c>
      <c r="L73" s="106">
        <f t="shared" si="17"/>
        <v>17168.400000000001</v>
      </c>
      <c r="M73" s="106">
        <f t="shared" si="17"/>
        <v>22212.999999999996</v>
      </c>
      <c r="N73" s="106">
        <f t="shared" si="17"/>
        <v>22101.899999999998</v>
      </c>
      <c r="O73" s="106">
        <f t="shared" si="17"/>
        <v>23518.3</v>
      </c>
      <c r="P73" s="106">
        <f t="shared" si="17"/>
        <v>27800.3</v>
      </c>
      <c r="Q73" s="106">
        <f t="shared" si="17"/>
        <v>20197.700000000004</v>
      </c>
      <c r="R73" s="106">
        <f t="shared" si="17"/>
        <v>301998.6999999999</v>
      </c>
      <c r="S73" s="325">
        <f t="shared" si="17"/>
        <v>393196.49999999988</v>
      </c>
      <c r="T73" s="106">
        <f t="shared" si="17"/>
        <v>24980.9</v>
      </c>
      <c r="U73" s="106">
        <f t="shared" si="17"/>
        <v>21184.1</v>
      </c>
      <c r="V73" s="106">
        <f t="shared" si="17"/>
        <v>43488.800000000003</v>
      </c>
      <c r="W73" s="106">
        <f t="shared" si="17"/>
        <v>65601.299999999988</v>
      </c>
      <c r="X73" s="106">
        <f t="shared" si="17"/>
        <v>9196.2999999999993</v>
      </c>
      <c r="Y73" s="106">
        <f t="shared" si="17"/>
        <v>39541.100000000006</v>
      </c>
      <c r="Z73" s="106">
        <f t="shared" si="17"/>
        <v>29719.199999999993</v>
      </c>
      <c r="AA73" s="106">
        <f t="shared" si="17"/>
        <v>31356.799999999999</v>
      </c>
      <c r="AB73" s="106">
        <f t="shared" si="17"/>
        <v>24856.600000000002</v>
      </c>
      <c r="AC73" s="106">
        <f t="shared" si="17"/>
        <v>29313.1</v>
      </c>
      <c r="AD73" s="106">
        <f t="shared" si="17"/>
        <v>26286.6</v>
      </c>
      <c r="AE73" s="106">
        <f t="shared" si="17"/>
        <v>46982.399999999994</v>
      </c>
      <c r="AF73" s="106">
        <f t="shared" si="17"/>
        <v>392506.99999999983</v>
      </c>
    </row>
    <row r="74" spans="1:32" s="378" customFormat="1" ht="73.5" customHeight="1" outlineLevel="7" x14ac:dyDescent="0.25">
      <c r="A74" s="8" t="s">
        <v>54</v>
      </c>
      <c r="B74" s="9" t="s">
        <v>372</v>
      </c>
      <c r="C74" s="10" t="s">
        <v>227</v>
      </c>
      <c r="D74" s="68"/>
      <c r="E74" s="68"/>
      <c r="F74" s="176"/>
      <c r="G74" s="176"/>
      <c r="H74" s="176"/>
      <c r="I74" s="176"/>
      <c r="J74" s="176"/>
      <c r="K74" s="176">
        <v>828.9</v>
      </c>
      <c r="L74" s="176"/>
      <c r="M74" s="176"/>
      <c r="N74" s="176"/>
      <c r="O74" s="176"/>
      <c r="P74" s="174"/>
      <c r="Q74" s="176">
        <v>517.79999999999995</v>
      </c>
      <c r="R74" s="176">
        <f t="shared" ref="R74:R88" si="18">F74+G74+H74+I74+J74+K74+L74+M74+N74+O74+P74+Q74</f>
        <v>1346.6999999999998</v>
      </c>
      <c r="S74" s="324">
        <v>234.3</v>
      </c>
      <c r="T74" s="176"/>
      <c r="U74" s="176"/>
      <c r="V74" s="176"/>
      <c r="W74" s="176">
        <v>234.3</v>
      </c>
      <c r="X74" s="176"/>
      <c r="Y74" s="176"/>
      <c r="Z74" s="176"/>
      <c r="AA74" s="176"/>
      <c r="AB74" s="176"/>
      <c r="AC74" s="176"/>
      <c r="AD74" s="176"/>
      <c r="AE74" s="176"/>
      <c r="AF74" s="346">
        <f>T74+U74+V74+W74+X74+Y74+Z74+AA74+AB74+AE74+AD74+AC74</f>
        <v>234.3</v>
      </c>
    </row>
    <row r="75" spans="1:32" s="378" customFormat="1" ht="72.75" customHeight="1" outlineLevel="7" x14ac:dyDescent="0.25">
      <c r="A75" s="8"/>
      <c r="B75" s="9" t="s">
        <v>373</v>
      </c>
      <c r="C75" s="10" t="s">
        <v>259</v>
      </c>
      <c r="D75" s="68"/>
      <c r="E75" s="68"/>
      <c r="F75" s="176"/>
      <c r="G75" s="176"/>
      <c r="H75" s="176"/>
      <c r="I75" s="176"/>
      <c r="J75" s="176"/>
      <c r="K75" s="176">
        <v>43.6</v>
      </c>
      <c r="L75" s="176"/>
      <c r="M75" s="176"/>
      <c r="N75" s="176"/>
      <c r="O75" s="176"/>
      <c r="P75" s="174"/>
      <c r="Q75" s="176">
        <v>23.9</v>
      </c>
      <c r="R75" s="176">
        <f t="shared" si="18"/>
        <v>67.5</v>
      </c>
      <c r="S75" s="324">
        <v>74</v>
      </c>
      <c r="T75" s="176"/>
      <c r="U75" s="176"/>
      <c r="V75" s="176"/>
      <c r="W75" s="176">
        <v>74</v>
      </c>
      <c r="X75" s="176"/>
      <c r="Y75" s="176"/>
      <c r="Z75" s="176"/>
      <c r="AA75" s="176"/>
      <c r="AB75" s="176"/>
      <c r="AC75" s="176"/>
      <c r="AD75" s="176"/>
      <c r="AE75" s="176"/>
      <c r="AF75" s="346">
        <f t="shared" ref="AF75:AF119" si="19">T75+U75+V75+W75+X75+Y75+Z75+AA75+AB75+AE75+AD75+AC75</f>
        <v>74</v>
      </c>
    </row>
    <row r="76" spans="1:32" s="378" customFormat="1" ht="59.25" customHeight="1" outlineLevel="7" x14ac:dyDescent="0.25">
      <c r="A76" s="8" t="s">
        <v>54</v>
      </c>
      <c r="B76" s="9" t="s">
        <v>60</v>
      </c>
      <c r="C76" s="10" t="s">
        <v>59</v>
      </c>
      <c r="D76" s="68"/>
      <c r="E76" s="68"/>
      <c r="F76" s="176"/>
      <c r="G76" s="176"/>
      <c r="H76" s="176"/>
      <c r="I76" s="176">
        <v>1910.4</v>
      </c>
      <c r="J76" s="176"/>
      <c r="K76" s="176"/>
      <c r="L76" s="176">
        <v>2234.3000000000002</v>
      </c>
      <c r="M76" s="176"/>
      <c r="N76" s="176">
        <v>1237.3</v>
      </c>
      <c r="O76" s="176"/>
      <c r="P76" s="174"/>
      <c r="Q76" s="174"/>
      <c r="R76" s="176">
        <f t="shared" si="18"/>
        <v>5382.0000000000009</v>
      </c>
      <c r="S76" s="324">
        <v>6989.3</v>
      </c>
      <c r="T76" s="176"/>
      <c r="U76" s="176"/>
      <c r="V76" s="176"/>
      <c r="W76" s="176"/>
      <c r="X76" s="176"/>
      <c r="Y76" s="176">
        <v>2115.6999999999998</v>
      </c>
      <c r="Z76" s="176">
        <v>4873.6000000000004</v>
      </c>
      <c r="AA76" s="176"/>
      <c r="AB76" s="176"/>
      <c r="AC76" s="176"/>
      <c r="AD76" s="176"/>
      <c r="AE76" s="176"/>
      <c r="AF76" s="346">
        <f t="shared" si="19"/>
        <v>6989.3</v>
      </c>
    </row>
    <row r="77" spans="1:32" s="378" customFormat="1" ht="75" customHeight="1" outlineLevel="7" x14ac:dyDescent="0.25">
      <c r="A77" s="8" t="s">
        <v>54</v>
      </c>
      <c r="B77" s="9" t="s">
        <v>127</v>
      </c>
      <c r="C77" s="10" t="s">
        <v>56</v>
      </c>
      <c r="D77" s="68"/>
      <c r="E77" s="68"/>
      <c r="F77" s="176"/>
      <c r="G77" s="176">
        <v>39.1</v>
      </c>
      <c r="H77" s="176"/>
      <c r="I77" s="176">
        <v>39.200000000000003</v>
      </c>
      <c r="J77" s="176"/>
      <c r="K77" s="176"/>
      <c r="L77" s="176">
        <v>39.1</v>
      </c>
      <c r="M77" s="176"/>
      <c r="N77" s="176"/>
      <c r="O77" s="176">
        <v>39.200000000000003</v>
      </c>
      <c r="P77" s="174"/>
      <c r="Q77" s="174"/>
      <c r="R77" s="176">
        <f t="shared" si="18"/>
        <v>156.60000000000002</v>
      </c>
      <c r="S77" s="324">
        <v>155.80000000000001</v>
      </c>
      <c r="T77" s="176">
        <v>38.9</v>
      </c>
      <c r="U77" s="176"/>
      <c r="V77" s="176"/>
      <c r="W77" s="176">
        <v>39</v>
      </c>
      <c r="X77" s="176"/>
      <c r="Y77" s="176"/>
      <c r="Z77" s="176">
        <v>38.9</v>
      </c>
      <c r="AA77" s="176"/>
      <c r="AB77" s="176">
        <v>39</v>
      </c>
      <c r="AC77" s="176"/>
      <c r="AD77" s="176"/>
      <c r="AE77" s="176"/>
      <c r="AF77" s="346">
        <f t="shared" si="19"/>
        <v>155.80000000000001</v>
      </c>
    </row>
    <row r="78" spans="1:32" s="378" customFormat="1" ht="30" outlineLevel="7" x14ac:dyDescent="0.25">
      <c r="A78" s="8" t="s">
        <v>54</v>
      </c>
      <c r="B78" s="9" t="s">
        <v>126</v>
      </c>
      <c r="C78" s="10" t="s">
        <v>55</v>
      </c>
      <c r="D78" s="68"/>
      <c r="E78" s="68"/>
      <c r="F78" s="176">
        <v>13036.2</v>
      </c>
      <c r="G78" s="176">
        <v>13036.2</v>
      </c>
      <c r="H78" s="176">
        <v>13036.2</v>
      </c>
      <c r="I78" s="176">
        <v>13036.2</v>
      </c>
      <c r="J78" s="176">
        <v>20805.8</v>
      </c>
      <c r="K78" s="176">
        <v>20910.099999999999</v>
      </c>
      <c r="L78" s="176">
        <v>7958.9</v>
      </c>
      <c r="M78" s="176">
        <v>9446.7999999999993</v>
      </c>
      <c r="N78" s="176">
        <v>13908.3</v>
      </c>
      <c r="O78" s="176">
        <v>13908.3</v>
      </c>
      <c r="P78" s="176">
        <v>13908.3</v>
      </c>
      <c r="Q78" s="176">
        <v>13908.3</v>
      </c>
      <c r="R78" s="176">
        <f t="shared" si="18"/>
        <v>166899.59999999998</v>
      </c>
      <c r="S78" s="324">
        <v>210445.7</v>
      </c>
      <c r="T78" s="176">
        <v>15693.9</v>
      </c>
      <c r="U78" s="176">
        <v>15693.9</v>
      </c>
      <c r="V78" s="176">
        <v>15693.8</v>
      </c>
      <c r="W78" s="176">
        <v>40804.1</v>
      </c>
      <c r="X78" s="176">
        <v>4625.6000000000004</v>
      </c>
      <c r="Y78" s="176">
        <v>26431.7</v>
      </c>
      <c r="Z78" s="176">
        <v>6607.9</v>
      </c>
      <c r="AA78" s="176">
        <v>13319.7</v>
      </c>
      <c r="AB78" s="176">
        <v>17718.400000000001</v>
      </c>
      <c r="AC78" s="176">
        <v>17718.400000000001</v>
      </c>
      <c r="AD78" s="176">
        <v>18069</v>
      </c>
      <c r="AE78" s="176">
        <v>18069.3</v>
      </c>
      <c r="AF78" s="346">
        <f t="shared" si="19"/>
        <v>210445.69999999998</v>
      </c>
    </row>
    <row r="79" spans="1:32" s="378" customFormat="1" ht="45.75" customHeight="1" outlineLevel="7" x14ac:dyDescent="0.25">
      <c r="A79" s="8"/>
      <c r="B79" s="9" t="s">
        <v>269</v>
      </c>
      <c r="C79" s="10" t="s">
        <v>270</v>
      </c>
      <c r="D79" s="68"/>
      <c r="E79" s="68"/>
      <c r="F79" s="176">
        <v>4891.1000000000004</v>
      </c>
      <c r="G79" s="176">
        <v>4891.2</v>
      </c>
      <c r="H79" s="176">
        <v>4891.1000000000004</v>
      </c>
      <c r="I79" s="176">
        <v>4891.1000000000004</v>
      </c>
      <c r="J79" s="176">
        <v>7806.3</v>
      </c>
      <c r="K79" s="176">
        <v>7845.4</v>
      </c>
      <c r="L79" s="176">
        <v>2986.1</v>
      </c>
      <c r="M79" s="176">
        <v>3545.8</v>
      </c>
      <c r="N79" s="176">
        <v>5218.6000000000004</v>
      </c>
      <c r="O79" s="176">
        <v>5218.5</v>
      </c>
      <c r="P79" s="176">
        <v>5218.5</v>
      </c>
      <c r="Q79" s="176">
        <v>5218.5</v>
      </c>
      <c r="R79" s="176">
        <f t="shared" si="18"/>
        <v>62622.2</v>
      </c>
      <c r="S79" s="324">
        <v>77195.100000000006</v>
      </c>
      <c r="T79" s="176">
        <v>5490.2</v>
      </c>
      <c r="U79" s="176">
        <v>5490.2</v>
      </c>
      <c r="V79" s="176">
        <v>5490.3</v>
      </c>
      <c r="W79" s="176">
        <v>14274.5</v>
      </c>
      <c r="X79" s="176">
        <v>1618.2</v>
      </c>
      <c r="Y79" s="176">
        <v>9246.7000000000007</v>
      </c>
      <c r="Z79" s="176">
        <v>2311.6</v>
      </c>
      <c r="AA79" s="176">
        <v>6723.9</v>
      </c>
      <c r="AB79" s="176">
        <v>6567</v>
      </c>
      <c r="AC79" s="176">
        <v>6567.1</v>
      </c>
      <c r="AD79" s="176">
        <v>6707.7</v>
      </c>
      <c r="AE79" s="176">
        <v>6707.7</v>
      </c>
      <c r="AF79" s="346">
        <f t="shared" si="19"/>
        <v>77195.100000000006</v>
      </c>
    </row>
    <row r="80" spans="1:32" s="378" customFormat="1" ht="91.5" customHeight="1" outlineLevel="7" x14ac:dyDescent="0.25">
      <c r="A80" s="8" t="s">
        <v>54</v>
      </c>
      <c r="B80" s="11" t="s">
        <v>128</v>
      </c>
      <c r="C80" s="20" t="s">
        <v>57</v>
      </c>
      <c r="D80" s="68"/>
      <c r="E80" s="68"/>
      <c r="F80" s="176">
        <v>111.7</v>
      </c>
      <c r="G80" s="176"/>
      <c r="H80" s="176"/>
      <c r="I80" s="176">
        <v>111.6</v>
      </c>
      <c r="J80" s="176"/>
      <c r="K80" s="176"/>
      <c r="L80" s="176">
        <v>111.7</v>
      </c>
      <c r="M80" s="176"/>
      <c r="N80" s="176">
        <v>-111.7</v>
      </c>
      <c r="O80" s="176"/>
      <c r="P80" s="174"/>
      <c r="Q80" s="174"/>
      <c r="R80" s="176">
        <f t="shared" si="18"/>
        <v>223.3</v>
      </c>
      <c r="S80" s="324">
        <v>232.2</v>
      </c>
      <c r="T80" s="176"/>
      <c r="U80" s="176"/>
      <c r="V80" s="176"/>
      <c r="W80" s="176">
        <v>232.2</v>
      </c>
      <c r="X80" s="176"/>
      <c r="Y80" s="176"/>
      <c r="Z80" s="176"/>
      <c r="AA80" s="176"/>
      <c r="AB80" s="176"/>
      <c r="AC80" s="176"/>
      <c r="AD80" s="176"/>
      <c r="AE80" s="176">
        <v>-232.2</v>
      </c>
      <c r="AF80" s="346">
        <f t="shared" si="19"/>
        <v>0</v>
      </c>
    </row>
    <row r="81" spans="1:32" s="378" customFormat="1" ht="90.75" customHeight="1" outlineLevel="7" x14ac:dyDescent="0.25">
      <c r="A81" s="8" t="s">
        <v>54</v>
      </c>
      <c r="B81" s="11" t="s">
        <v>129</v>
      </c>
      <c r="C81" s="10" t="s">
        <v>58</v>
      </c>
      <c r="D81" s="68"/>
      <c r="E81" s="68"/>
      <c r="F81" s="176">
        <v>191.7</v>
      </c>
      <c r="G81" s="176"/>
      <c r="H81" s="176"/>
      <c r="I81" s="176">
        <v>191.8</v>
      </c>
      <c r="J81" s="176"/>
      <c r="K81" s="176">
        <v>-0.1</v>
      </c>
      <c r="L81" s="176">
        <v>191.8</v>
      </c>
      <c r="M81" s="176"/>
      <c r="N81" s="176"/>
      <c r="O81" s="176">
        <v>191.7</v>
      </c>
      <c r="P81" s="174"/>
      <c r="Q81" s="174"/>
      <c r="R81" s="176">
        <f t="shared" si="18"/>
        <v>766.90000000000009</v>
      </c>
      <c r="S81" s="324">
        <v>931</v>
      </c>
      <c r="T81" s="176">
        <v>232.7</v>
      </c>
      <c r="U81" s="176"/>
      <c r="V81" s="176"/>
      <c r="W81" s="176">
        <v>232.7</v>
      </c>
      <c r="X81" s="176"/>
      <c r="Y81" s="176">
        <v>30</v>
      </c>
      <c r="Z81" s="176">
        <v>202.8</v>
      </c>
      <c r="AA81" s="176"/>
      <c r="AB81" s="176">
        <v>0.1</v>
      </c>
      <c r="AC81" s="176">
        <v>232.7</v>
      </c>
      <c r="AD81" s="176"/>
      <c r="AE81" s="176"/>
      <c r="AF81" s="346">
        <f t="shared" si="19"/>
        <v>931</v>
      </c>
    </row>
    <row r="82" spans="1:32" s="378" customFormat="1" ht="103.5" customHeight="1" outlineLevel="7" x14ac:dyDescent="0.25">
      <c r="A82" s="8" t="s">
        <v>54</v>
      </c>
      <c r="B82" s="331" t="s">
        <v>450</v>
      </c>
      <c r="C82" s="10" t="s">
        <v>302</v>
      </c>
      <c r="D82" s="68"/>
      <c r="E82" s="68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4"/>
      <c r="Q82" s="174"/>
      <c r="R82" s="176">
        <f t="shared" si="18"/>
        <v>0</v>
      </c>
      <c r="S82" s="324">
        <v>722</v>
      </c>
      <c r="T82" s="176"/>
      <c r="U82" s="176"/>
      <c r="V82" s="176"/>
      <c r="W82" s="176"/>
      <c r="X82" s="176">
        <v>36</v>
      </c>
      <c r="Y82" s="176">
        <v>15</v>
      </c>
      <c r="Z82" s="176">
        <v>511</v>
      </c>
      <c r="AA82" s="176">
        <v>16</v>
      </c>
      <c r="AB82" s="176">
        <v>16</v>
      </c>
      <c r="AC82" s="176">
        <v>32</v>
      </c>
      <c r="AD82" s="176">
        <v>32</v>
      </c>
      <c r="AE82" s="176">
        <v>46</v>
      </c>
      <c r="AF82" s="346">
        <f t="shared" si="19"/>
        <v>704</v>
      </c>
    </row>
    <row r="83" spans="1:32" s="378" customFormat="1" ht="45" outlineLevel="7" x14ac:dyDescent="0.25">
      <c r="A83" s="8" t="s">
        <v>54</v>
      </c>
      <c r="B83" s="11" t="s">
        <v>130</v>
      </c>
      <c r="C83" s="10" t="s">
        <v>63</v>
      </c>
      <c r="D83" s="68"/>
      <c r="E83" s="68"/>
      <c r="F83" s="176"/>
      <c r="G83" s="176"/>
      <c r="H83" s="176"/>
      <c r="I83" s="176">
        <v>38.1</v>
      </c>
      <c r="J83" s="176">
        <v>168.7</v>
      </c>
      <c r="K83" s="176"/>
      <c r="L83" s="176"/>
      <c r="M83" s="176"/>
      <c r="N83" s="176"/>
      <c r="O83" s="176"/>
      <c r="P83" s="174"/>
      <c r="Q83" s="174"/>
      <c r="R83" s="176">
        <f t="shared" si="18"/>
        <v>206.79999999999998</v>
      </c>
      <c r="S83" s="324">
        <v>251.4</v>
      </c>
      <c r="T83" s="176">
        <v>251.4</v>
      </c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346">
        <f t="shared" si="19"/>
        <v>251.4</v>
      </c>
    </row>
    <row r="84" spans="1:32" s="378" customFormat="1" ht="121.5" customHeight="1" outlineLevel="7" x14ac:dyDescent="0.25">
      <c r="A84" s="8" t="s">
        <v>54</v>
      </c>
      <c r="B84" s="11" t="s">
        <v>131</v>
      </c>
      <c r="C84" s="10" t="s">
        <v>68</v>
      </c>
      <c r="D84" s="68"/>
      <c r="E84" s="68"/>
      <c r="F84" s="176">
        <v>120.2</v>
      </c>
      <c r="G84" s="176"/>
      <c r="H84" s="176"/>
      <c r="I84" s="176">
        <v>120.1</v>
      </c>
      <c r="J84" s="176"/>
      <c r="K84" s="176"/>
      <c r="L84" s="176">
        <v>120.1</v>
      </c>
      <c r="M84" s="176"/>
      <c r="N84" s="176">
        <v>0.1</v>
      </c>
      <c r="O84" s="176">
        <v>120.1</v>
      </c>
      <c r="P84" s="174"/>
      <c r="Q84" s="174"/>
      <c r="R84" s="176">
        <f t="shared" si="18"/>
        <v>480.6</v>
      </c>
      <c r="S84" s="324">
        <v>772.7</v>
      </c>
      <c r="T84" s="176">
        <v>156.4</v>
      </c>
      <c r="U84" s="176"/>
      <c r="V84" s="176"/>
      <c r="W84" s="176">
        <v>156.4</v>
      </c>
      <c r="X84" s="176"/>
      <c r="Y84" s="176"/>
      <c r="Z84" s="176">
        <v>266.8</v>
      </c>
      <c r="AA84" s="176"/>
      <c r="AB84" s="176">
        <v>-0.1</v>
      </c>
      <c r="AC84" s="176">
        <v>193.2</v>
      </c>
      <c r="AD84" s="176"/>
      <c r="AE84" s="176"/>
      <c r="AF84" s="346">
        <f t="shared" si="19"/>
        <v>772.7</v>
      </c>
    </row>
    <row r="85" spans="1:32" s="378" customFormat="1" ht="77.25" customHeight="1" outlineLevel="7" x14ac:dyDescent="0.25">
      <c r="A85" s="8" t="s">
        <v>54</v>
      </c>
      <c r="B85" s="12" t="s">
        <v>132</v>
      </c>
      <c r="C85" s="10" t="s">
        <v>69</v>
      </c>
      <c r="D85" s="68"/>
      <c r="E85" s="68"/>
      <c r="F85" s="176">
        <v>709.2</v>
      </c>
      <c r="G85" s="176"/>
      <c r="H85" s="176"/>
      <c r="I85" s="176">
        <v>709.2</v>
      </c>
      <c r="J85" s="176"/>
      <c r="K85" s="176"/>
      <c r="L85" s="176">
        <v>709.2</v>
      </c>
      <c r="M85" s="176"/>
      <c r="N85" s="176"/>
      <c r="O85" s="176">
        <v>709.2</v>
      </c>
      <c r="P85" s="176">
        <v>159.80000000000001</v>
      </c>
      <c r="Q85" s="174"/>
      <c r="R85" s="176">
        <f t="shared" si="18"/>
        <v>2996.6000000000004</v>
      </c>
      <c r="S85" s="324">
        <v>0</v>
      </c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346">
        <f t="shared" si="19"/>
        <v>0</v>
      </c>
    </row>
    <row r="86" spans="1:32" s="378" customFormat="1" ht="75.75" customHeight="1" outlineLevel="7" thickBot="1" x14ac:dyDescent="0.3">
      <c r="A86" s="8" t="s">
        <v>54</v>
      </c>
      <c r="B86" s="293" t="s">
        <v>133</v>
      </c>
      <c r="C86" s="282" t="s">
        <v>73</v>
      </c>
      <c r="D86" s="283"/>
      <c r="E86" s="283"/>
      <c r="F86" s="261">
        <v>147.1</v>
      </c>
      <c r="G86" s="261"/>
      <c r="H86" s="261">
        <v>0.1</v>
      </c>
      <c r="I86" s="261">
        <v>147.1</v>
      </c>
      <c r="J86" s="261"/>
      <c r="K86" s="261"/>
      <c r="L86" s="261">
        <v>147.19999999999999</v>
      </c>
      <c r="M86" s="261"/>
      <c r="N86" s="261">
        <v>-12.8</v>
      </c>
      <c r="O86" s="261">
        <v>0.1</v>
      </c>
      <c r="P86" s="260"/>
      <c r="Q86" s="260"/>
      <c r="R86" s="261">
        <f t="shared" si="18"/>
        <v>428.79999999999995</v>
      </c>
      <c r="S86" s="329">
        <v>444.6</v>
      </c>
      <c r="T86" s="261"/>
      <c r="U86" s="261"/>
      <c r="V86" s="261"/>
      <c r="W86" s="261">
        <v>337.3</v>
      </c>
      <c r="X86" s="261"/>
      <c r="Y86" s="261"/>
      <c r="Z86" s="261">
        <v>168.7</v>
      </c>
      <c r="AA86" s="261"/>
      <c r="AB86" s="261"/>
      <c r="AC86" s="261">
        <v>-61.3</v>
      </c>
      <c r="AD86" s="261"/>
      <c r="AE86" s="261"/>
      <c r="AF86" s="346">
        <v>444.6</v>
      </c>
    </row>
    <row r="87" spans="1:32" s="378" customFormat="1" ht="70.5" customHeight="1" outlineLevel="7" x14ac:dyDescent="0.25">
      <c r="A87" s="8"/>
      <c r="B87" s="292" t="s">
        <v>355</v>
      </c>
      <c r="C87" s="247" t="s">
        <v>282</v>
      </c>
      <c r="D87" s="248"/>
      <c r="E87" s="248"/>
      <c r="F87" s="253"/>
      <c r="G87" s="253"/>
      <c r="H87" s="253">
        <v>3413</v>
      </c>
      <c r="I87" s="253">
        <v>-2593.9</v>
      </c>
      <c r="J87" s="253"/>
      <c r="K87" s="253"/>
      <c r="L87" s="253"/>
      <c r="M87" s="253">
        <v>5914</v>
      </c>
      <c r="N87" s="253">
        <v>-4494.6000000000004</v>
      </c>
      <c r="O87" s="253"/>
      <c r="P87" s="252"/>
      <c r="Q87" s="252"/>
      <c r="R87" s="253">
        <f t="shared" si="18"/>
        <v>2238.5</v>
      </c>
      <c r="S87" s="324">
        <v>2813.9</v>
      </c>
      <c r="T87" s="253"/>
      <c r="U87" s="253"/>
      <c r="V87" s="253"/>
      <c r="W87" s="253">
        <v>575.70000000000005</v>
      </c>
      <c r="X87" s="253"/>
      <c r="Y87" s="253">
        <v>156.80000000000001</v>
      </c>
      <c r="Z87" s="253"/>
      <c r="AA87" s="253">
        <v>1591.6</v>
      </c>
      <c r="AB87" s="253"/>
      <c r="AC87" s="253"/>
      <c r="AD87" s="253"/>
      <c r="AE87" s="253">
        <v>489.8</v>
      </c>
      <c r="AF87" s="346">
        <f t="shared" si="19"/>
        <v>2813.9</v>
      </c>
    </row>
    <row r="88" spans="1:32" s="378" customFormat="1" ht="66.75" customHeight="1" outlineLevel="7" thickBot="1" x14ac:dyDescent="0.3">
      <c r="A88" s="8"/>
      <c r="B88" s="21" t="s">
        <v>354</v>
      </c>
      <c r="C88" s="291" t="s">
        <v>336</v>
      </c>
      <c r="D88" s="213"/>
      <c r="E88" s="384"/>
      <c r="F88" s="176"/>
      <c r="G88" s="261"/>
      <c r="H88" s="176"/>
      <c r="I88" s="176">
        <v>2593.9</v>
      </c>
      <c r="J88" s="176"/>
      <c r="K88" s="176"/>
      <c r="L88" s="176"/>
      <c r="M88" s="176"/>
      <c r="N88" s="176">
        <v>4494.6000000000004</v>
      </c>
      <c r="O88" s="176"/>
      <c r="P88" s="174"/>
      <c r="Q88" s="174"/>
      <c r="R88" s="176">
        <f t="shared" si="18"/>
        <v>7088.5</v>
      </c>
      <c r="S88" s="324">
        <v>8910.6</v>
      </c>
      <c r="T88" s="176"/>
      <c r="U88" s="176"/>
      <c r="V88" s="176"/>
      <c r="W88" s="176">
        <v>2476.3000000000002</v>
      </c>
      <c r="X88" s="176"/>
      <c r="Y88" s="176">
        <v>-156.80000000000001</v>
      </c>
      <c r="Z88" s="176"/>
      <c r="AA88" s="176">
        <v>5040.2</v>
      </c>
      <c r="AB88" s="176"/>
      <c r="AC88" s="176"/>
      <c r="AD88" s="176"/>
      <c r="AE88" s="176">
        <v>1550.9</v>
      </c>
      <c r="AF88" s="346">
        <f t="shared" si="19"/>
        <v>8910.6</v>
      </c>
    </row>
    <row r="89" spans="1:32" s="378" customFormat="1" ht="118.5" customHeight="1" outlineLevel="5" x14ac:dyDescent="0.25">
      <c r="A89" s="8" t="s">
        <v>74</v>
      </c>
      <c r="B89" s="177" t="s">
        <v>276</v>
      </c>
      <c r="C89" s="247" t="s">
        <v>277</v>
      </c>
      <c r="D89" s="248"/>
      <c r="E89" s="248"/>
      <c r="F89" s="253">
        <v>567.20000000000005</v>
      </c>
      <c r="G89" s="253"/>
      <c r="H89" s="253"/>
      <c r="I89" s="253">
        <v>567.29999999999995</v>
      </c>
      <c r="J89" s="253"/>
      <c r="K89" s="253"/>
      <c r="L89" s="253">
        <v>567.20000000000005</v>
      </c>
      <c r="M89" s="253"/>
      <c r="N89" s="253"/>
      <c r="O89" s="253">
        <v>567.20000000000005</v>
      </c>
      <c r="P89" s="253">
        <f>18.8+1254.5</f>
        <v>1273.3</v>
      </c>
      <c r="Q89" s="252"/>
      <c r="R89" s="253">
        <v>3542.3</v>
      </c>
      <c r="S89" s="324">
        <v>3182.1</v>
      </c>
      <c r="T89" s="253">
        <v>733.6</v>
      </c>
      <c r="U89" s="253"/>
      <c r="V89" s="253"/>
      <c r="W89" s="253">
        <v>733.6</v>
      </c>
      <c r="X89" s="253"/>
      <c r="Y89" s="253"/>
      <c r="Z89" s="253">
        <v>733.6</v>
      </c>
      <c r="AA89" s="253"/>
      <c r="AB89" s="253"/>
      <c r="AC89" s="253">
        <v>733.6</v>
      </c>
      <c r="AD89" s="253"/>
      <c r="AE89" s="253">
        <v>-191.6</v>
      </c>
      <c r="AF89" s="346">
        <f t="shared" si="19"/>
        <v>2742.8</v>
      </c>
    </row>
    <row r="90" spans="1:32" s="378" customFormat="1" ht="105" outlineLevel="7" x14ac:dyDescent="0.25">
      <c r="A90" s="8"/>
      <c r="B90" s="2" t="s">
        <v>76</v>
      </c>
      <c r="C90" s="10" t="s">
        <v>75</v>
      </c>
      <c r="D90" s="68"/>
      <c r="E90" s="68"/>
      <c r="F90" s="176"/>
      <c r="G90" s="176"/>
      <c r="H90" s="176">
        <v>1274.2</v>
      </c>
      <c r="I90" s="176">
        <v>2548.4</v>
      </c>
      <c r="J90" s="176"/>
      <c r="K90" s="176"/>
      <c r="L90" s="176"/>
      <c r="M90" s="176"/>
      <c r="N90" s="176"/>
      <c r="O90" s="176"/>
      <c r="P90" s="174"/>
      <c r="Q90" s="174"/>
      <c r="R90" s="176">
        <f>F90+G90+H90+I90+J90+K90+L90+M90+N90+O90+P90+Q90</f>
        <v>3822.6000000000004</v>
      </c>
      <c r="S90" s="324">
        <v>0</v>
      </c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346">
        <f t="shared" si="19"/>
        <v>0</v>
      </c>
    </row>
    <row r="91" spans="1:32" s="378" customFormat="1" ht="105" outlineLevel="7" x14ac:dyDescent="0.25">
      <c r="A91" s="8"/>
      <c r="B91" s="2" t="s">
        <v>78</v>
      </c>
      <c r="C91" s="10" t="s">
        <v>77</v>
      </c>
      <c r="D91" s="68"/>
      <c r="E91" s="68"/>
      <c r="F91" s="176"/>
      <c r="G91" s="176"/>
      <c r="H91" s="176">
        <v>402.4</v>
      </c>
      <c r="I91" s="176">
        <v>804.7</v>
      </c>
      <c r="J91" s="176"/>
      <c r="K91" s="176"/>
      <c r="L91" s="176"/>
      <c r="M91" s="176"/>
      <c r="N91" s="176"/>
      <c r="O91" s="176"/>
      <c r="P91" s="176">
        <v>6470.6</v>
      </c>
      <c r="Q91" s="174"/>
      <c r="R91" s="176">
        <f>F91+G91+H91+I91+J91+K91+L91+M91+N91+O91+P91+Q91</f>
        <v>7677.7000000000007</v>
      </c>
      <c r="S91" s="324">
        <v>26527.5</v>
      </c>
      <c r="T91" s="176"/>
      <c r="U91" s="176"/>
      <c r="V91" s="176"/>
      <c r="W91" s="176"/>
      <c r="X91" s="176"/>
      <c r="Y91" s="176"/>
      <c r="Z91" s="176">
        <v>7931.7</v>
      </c>
      <c r="AA91" s="176"/>
      <c r="AB91" s="176"/>
      <c r="AC91" s="176"/>
      <c r="AD91" s="176"/>
      <c r="AE91" s="176">
        <v>18595.8</v>
      </c>
      <c r="AF91" s="346">
        <f t="shared" si="19"/>
        <v>26527.5</v>
      </c>
    </row>
    <row r="92" spans="1:32" s="378" customFormat="1" ht="45" outlineLevel="7" x14ac:dyDescent="0.25">
      <c r="A92" s="8" t="s">
        <v>80</v>
      </c>
      <c r="B92" s="238" t="s">
        <v>134</v>
      </c>
      <c r="C92" s="10" t="s">
        <v>79</v>
      </c>
      <c r="D92" s="68"/>
      <c r="E92" s="68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>
        <v>1.6</v>
      </c>
      <c r="Q92" s="174"/>
      <c r="R92" s="176">
        <f>F92+G92+H92+I92+J92+K92+L92+M92+N92+O92+P92+Q92</f>
        <v>1.6</v>
      </c>
      <c r="S92" s="324">
        <v>6</v>
      </c>
      <c r="T92" s="176"/>
      <c r="U92" s="176"/>
      <c r="V92" s="176"/>
      <c r="W92" s="176">
        <v>6</v>
      </c>
      <c r="X92" s="176"/>
      <c r="Y92" s="176"/>
      <c r="Z92" s="176"/>
      <c r="AA92" s="176"/>
      <c r="AB92" s="176"/>
      <c r="AC92" s="176"/>
      <c r="AD92" s="176"/>
      <c r="AE92" s="176"/>
      <c r="AF92" s="346">
        <f t="shared" si="19"/>
        <v>6</v>
      </c>
    </row>
    <row r="93" spans="1:32" s="378" customFormat="1" ht="94.5" customHeight="1" outlineLevel="7" x14ac:dyDescent="0.25">
      <c r="A93" s="8"/>
      <c r="B93" s="339" t="s">
        <v>451</v>
      </c>
      <c r="C93" s="10" t="s">
        <v>488</v>
      </c>
      <c r="D93" s="68"/>
      <c r="E93" s="68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4"/>
      <c r="R93" s="176"/>
      <c r="S93" s="324">
        <v>2488.9</v>
      </c>
      <c r="T93" s="176"/>
      <c r="U93" s="176"/>
      <c r="V93" s="176"/>
      <c r="W93" s="176"/>
      <c r="X93" s="176"/>
      <c r="Y93" s="176"/>
      <c r="Z93" s="176"/>
      <c r="AA93" s="176">
        <v>2488.9</v>
      </c>
      <c r="AB93" s="176"/>
      <c r="AC93" s="176"/>
      <c r="AD93" s="176"/>
      <c r="AE93" s="176"/>
      <c r="AF93" s="346">
        <f t="shared" si="19"/>
        <v>2488.9</v>
      </c>
    </row>
    <row r="94" spans="1:32" s="378" customFormat="1" ht="65.25" customHeight="1" outlineLevel="7" x14ac:dyDescent="0.25">
      <c r="A94" s="8"/>
      <c r="B94" s="9" t="s">
        <v>142</v>
      </c>
      <c r="C94" s="10" t="s">
        <v>141</v>
      </c>
      <c r="D94" s="68"/>
      <c r="E94" s="68"/>
      <c r="F94" s="176"/>
      <c r="G94" s="176">
        <v>1547.1</v>
      </c>
      <c r="H94" s="176">
        <v>772.4</v>
      </c>
      <c r="I94" s="176">
        <v>772.4</v>
      </c>
      <c r="J94" s="176">
        <v>2206.9</v>
      </c>
      <c r="K94" s="176"/>
      <c r="L94" s="176">
        <v>367.8</v>
      </c>
      <c r="M94" s="176">
        <v>367.8</v>
      </c>
      <c r="N94" s="176">
        <v>768.2</v>
      </c>
      <c r="O94" s="176">
        <v>768.2</v>
      </c>
      <c r="P94" s="176">
        <v>768.2</v>
      </c>
      <c r="Q94" s="176">
        <v>457.4</v>
      </c>
      <c r="R94" s="176">
        <f>F94+G94+H94+I94+J94+K94+L94+M94+N94+O94+P94+Q94</f>
        <v>8796.4</v>
      </c>
      <c r="S94" s="324">
        <v>14856.8</v>
      </c>
      <c r="T94" s="176"/>
      <c r="U94" s="176"/>
      <c r="V94" s="176">
        <v>1353.4</v>
      </c>
      <c r="W94" s="176">
        <v>3240</v>
      </c>
      <c r="X94" s="176">
        <v>2916.5</v>
      </c>
      <c r="Y94" s="176"/>
      <c r="Z94" s="176">
        <v>729.1</v>
      </c>
      <c r="AA94" s="176">
        <v>2176.5</v>
      </c>
      <c r="AB94" s="176"/>
      <c r="AC94" s="176">
        <v>1718.6</v>
      </c>
      <c r="AD94" s="176">
        <v>1432.2</v>
      </c>
      <c r="AE94" s="176">
        <v>1290.5</v>
      </c>
      <c r="AF94" s="346">
        <f t="shared" si="19"/>
        <v>14856.800000000001</v>
      </c>
    </row>
    <row r="95" spans="1:32" s="378" customFormat="1" ht="86.25" customHeight="1" outlineLevel="7" x14ac:dyDescent="0.25">
      <c r="A95" s="8"/>
      <c r="B95" s="2" t="s">
        <v>458</v>
      </c>
      <c r="C95" s="10" t="s">
        <v>87</v>
      </c>
      <c r="D95" s="68"/>
      <c r="E95" s="68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324">
        <v>7095.5</v>
      </c>
      <c r="T95" s="176"/>
      <c r="U95" s="176"/>
      <c r="V95" s="176">
        <v>7401.2</v>
      </c>
      <c r="W95" s="176">
        <v>-276.3</v>
      </c>
      <c r="X95" s="176"/>
      <c r="Y95" s="176"/>
      <c r="Z95" s="176">
        <v>22.6</v>
      </c>
      <c r="AA95" s="176"/>
      <c r="AB95" s="176"/>
      <c r="AC95" s="176">
        <v>-52</v>
      </c>
      <c r="AD95" s="176"/>
      <c r="AE95" s="176"/>
      <c r="AF95" s="346">
        <f t="shared" si="19"/>
        <v>7095.5</v>
      </c>
    </row>
    <row r="96" spans="1:32" s="378" customFormat="1" ht="87" customHeight="1" outlineLevel="7" x14ac:dyDescent="0.25">
      <c r="A96" s="8"/>
      <c r="B96" s="2" t="s">
        <v>459</v>
      </c>
      <c r="C96" s="10" t="s">
        <v>85</v>
      </c>
      <c r="D96" s="68"/>
      <c r="E96" s="68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324">
        <v>351.1</v>
      </c>
      <c r="T96" s="176"/>
      <c r="U96" s="176"/>
      <c r="V96" s="176">
        <v>74.900000000000006</v>
      </c>
      <c r="W96" s="176">
        <v>276.2</v>
      </c>
      <c r="X96" s="176"/>
      <c r="Y96" s="176"/>
      <c r="Z96" s="176"/>
      <c r="AA96" s="176"/>
      <c r="AB96" s="176"/>
      <c r="AC96" s="176"/>
      <c r="AD96" s="176"/>
      <c r="AE96" s="176"/>
      <c r="AF96" s="346">
        <f t="shared" si="19"/>
        <v>351.1</v>
      </c>
    </row>
    <row r="97" spans="1:32" s="378" customFormat="1" ht="140.25" customHeight="1" outlineLevel="7" x14ac:dyDescent="0.25">
      <c r="A97" s="8"/>
      <c r="B97" s="237" t="s">
        <v>374</v>
      </c>
      <c r="C97" s="10"/>
      <c r="D97" s="68"/>
      <c r="E97" s="68"/>
      <c r="F97" s="176"/>
      <c r="G97" s="176"/>
      <c r="H97" s="176"/>
      <c r="I97" s="176"/>
      <c r="J97" s="176">
        <v>2518.8000000000002</v>
      </c>
      <c r="K97" s="176">
        <v>113.9</v>
      </c>
      <c r="L97" s="176"/>
      <c r="M97" s="176"/>
      <c r="N97" s="176"/>
      <c r="O97" s="176"/>
      <c r="P97" s="174"/>
      <c r="Q97" s="174"/>
      <c r="R97" s="176">
        <f t="shared" ref="R97:R102" si="20">F97+G97+H97+I97+J97+K97+L97+M97+N97+O97+P97+Q97</f>
        <v>2632.7000000000003</v>
      </c>
      <c r="S97" s="324">
        <v>0</v>
      </c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346">
        <f t="shared" si="19"/>
        <v>0</v>
      </c>
    </row>
    <row r="98" spans="1:32" s="378" customFormat="1" ht="66" customHeight="1" outlineLevel="7" x14ac:dyDescent="0.25">
      <c r="A98" s="8"/>
      <c r="B98" s="177" t="s">
        <v>90</v>
      </c>
      <c r="C98" s="10" t="s">
        <v>89</v>
      </c>
      <c r="D98" s="68"/>
      <c r="E98" s="68"/>
      <c r="F98" s="176"/>
      <c r="G98" s="176"/>
      <c r="H98" s="176">
        <v>4604.3</v>
      </c>
      <c r="I98" s="176"/>
      <c r="J98" s="176"/>
      <c r="K98" s="176"/>
      <c r="L98" s="176"/>
      <c r="M98" s="176"/>
      <c r="N98" s="176"/>
      <c r="O98" s="176"/>
      <c r="P98" s="174"/>
      <c r="Q98" s="174"/>
      <c r="R98" s="176">
        <f t="shared" si="20"/>
        <v>4604.3</v>
      </c>
      <c r="S98" s="324">
        <v>3168.6</v>
      </c>
      <c r="T98" s="176"/>
      <c r="U98" s="176"/>
      <c r="V98" s="176">
        <v>3168.6</v>
      </c>
      <c r="W98" s="176"/>
      <c r="X98" s="176"/>
      <c r="Y98" s="176"/>
      <c r="Z98" s="176"/>
      <c r="AA98" s="176"/>
      <c r="AB98" s="176"/>
      <c r="AC98" s="176"/>
      <c r="AD98" s="176"/>
      <c r="AE98" s="176"/>
      <c r="AF98" s="346">
        <f t="shared" si="19"/>
        <v>3168.6</v>
      </c>
    </row>
    <row r="99" spans="1:32" s="378" customFormat="1" ht="56.25" customHeight="1" outlineLevel="7" x14ac:dyDescent="0.25">
      <c r="A99" s="8" t="s">
        <v>86</v>
      </c>
      <c r="B99" s="9" t="s">
        <v>92</v>
      </c>
      <c r="C99" s="10" t="s">
        <v>91</v>
      </c>
      <c r="D99" s="68"/>
      <c r="E99" s="68"/>
      <c r="F99" s="176"/>
      <c r="G99" s="176"/>
      <c r="H99" s="176"/>
      <c r="I99" s="176"/>
      <c r="J99" s="176">
        <v>12.2</v>
      </c>
      <c r="K99" s="176"/>
      <c r="L99" s="176"/>
      <c r="M99" s="176"/>
      <c r="N99" s="176">
        <v>267.2</v>
      </c>
      <c r="O99" s="176">
        <v>157.80000000000001</v>
      </c>
      <c r="P99" s="174"/>
      <c r="Q99" s="176">
        <v>-0.1</v>
      </c>
      <c r="R99" s="176">
        <f t="shared" si="20"/>
        <v>437.09999999999997</v>
      </c>
      <c r="S99" s="324">
        <v>760</v>
      </c>
      <c r="T99" s="176"/>
      <c r="U99" s="176"/>
      <c r="V99" s="176"/>
      <c r="W99" s="176"/>
      <c r="X99" s="176"/>
      <c r="Y99" s="176"/>
      <c r="Z99" s="176">
        <v>488.6</v>
      </c>
      <c r="AA99" s="176"/>
      <c r="AB99" s="176">
        <v>271.39999999999998</v>
      </c>
      <c r="AC99" s="176"/>
      <c r="AD99" s="176">
        <v>0.1</v>
      </c>
      <c r="AE99" s="176"/>
      <c r="AF99" s="346">
        <v>760</v>
      </c>
    </row>
    <row r="100" spans="1:32" s="378" customFormat="1" ht="60" outlineLevel="7" x14ac:dyDescent="0.25">
      <c r="A100" s="8" t="s">
        <v>88</v>
      </c>
      <c r="B100" s="9" t="s">
        <v>94</v>
      </c>
      <c r="C100" s="10" t="s">
        <v>456</v>
      </c>
      <c r="D100" s="68"/>
      <c r="E100" s="68"/>
      <c r="F100" s="176"/>
      <c r="G100" s="176"/>
      <c r="H100" s="176"/>
      <c r="I100" s="176">
        <v>3356.1</v>
      </c>
      <c r="J100" s="176"/>
      <c r="K100" s="176"/>
      <c r="L100" s="176"/>
      <c r="M100" s="176"/>
      <c r="N100" s="176"/>
      <c r="O100" s="176"/>
      <c r="P100" s="174"/>
      <c r="Q100" s="174"/>
      <c r="R100" s="176">
        <f t="shared" si="20"/>
        <v>3356.1</v>
      </c>
      <c r="S100" s="324">
        <v>4371</v>
      </c>
      <c r="T100" s="176"/>
      <c r="U100" s="176"/>
      <c r="V100" s="176">
        <v>4371</v>
      </c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346">
        <f t="shared" si="19"/>
        <v>4371</v>
      </c>
    </row>
    <row r="101" spans="1:32" s="378" customFormat="1" ht="68.25" customHeight="1" outlineLevel="7" x14ac:dyDescent="0.25">
      <c r="A101" s="8" t="s">
        <v>95</v>
      </c>
      <c r="B101" s="9" t="s">
        <v>65</v>
      </c>
      <c r="C101" s="10" t="s">
        <v>64</v>
      </c>
      <c r="D101" s="68"/>
      <c r="E101" s="68"/>
      <c r="F101" s="176"/>
      <c r="G101" s="176">
        <v>89.6</v>
      </c>
      <c r="H101" s="176">
        <v>1454</v>
      </c>
      <c r="I101" s="176">
        <v>82.8</v>
      </c>
      <c r="J101" s="176"/>
      <c r="K101" s="176"/>
      <c r="L101" s="176"/>
      <c r="M101" s="176"/>
      <c r="N101" s="176"/>
      <c r="O101" s="176">
        <v>23</v>
      </c>
      <c r="P101" s="174"/>
      <c r="Q101" s="176">
        <v>1.9</v>
      </c>
      <c r="R101" s="176">
        <f t="shared" si="20"/>
        <v>1651.3</v>
      </c>
      <c r="S101" s="324">
        <v>2702.6</v>
      </c>
      <c r="T101" s="176"/>
      <c r="U101" s="176"/>
      <c r="V101" s="176">
        <v>1000.6</v>
      </c>
      <c r="W101" s="176"/>
      <c r="X101" s="176"/>
      <c r="Y101" s="176">
        <v>1702</v>
      </c>
      <c r="Z101" s="176"/>
      <c r="AA101" s="176"/>
      <c r="AB101" s="176"/>
      <c r="AC101" s="176"/>
      <c r="AD101" s="176"/>
      <c r="AE101" s="176"/>
      <c r="AF101" s="346">
        <f t="shared" si="19"/>
        <v>2702.6</v>
      </c>
    </row>
    <row r="102" spans="1:32" s="378" customFormat="1" ht="56.25" customHeight="1" outlineLevel="7" x14ac:dyDescent="0.25">
      <c r="A102" s="8" t="s">
        <v>95</v>
      </c>
      <c r="B102" s="9" t="s">
        <v>67</v>
      </c>
      <c r="C102" s="10" t="s">
        <v>66</v>
      </c>
      <c r="D102" s="68"/>
      <c r="E102" s="68"/>
      <c r="F102" s="176"/>
      <c r="G102" s="176"/>
      <c r="H102" s="176">
        <v>543.6</v>
      </c>
      <c r="I102" s="176">
        <v>789.5</v>
      </c>
      <c r="J102" s="176">
        <v>-12.2</v>
      </c>
      <c r="K102" s="176">
        <v>1274.0999999999999</v>
      </c>
      <c r="L102" s="176"/>
      <c r="M102" s="176"/>
      <c r="N102" s="176">
        <v>84.4</v>
      </c>
      <c r="O102" s="176">
        <v>142</v>
      </c>
      <c r="P102" s="174"/>
      <c r="Q102" s="176">
        <v>70</v>
      </c>
      <c r="R102" s="176">
        <f t="shared" si="20"/>
        <v>2891.4</v>
      </c>
      <c r="S102" s="324">
        <v>2846.3</v>
      </c>
      <c r="T102" s="176"/>
      <c r="U102" s="176"/>
      <c r="V102" s="176"/>
      <c r="W102" s="176"/>
      <c r="X102" s="176"/>
      <c r="Y102" s="176"/>
      <c r="Z102" s="176">
        <v>2647</v>
      </c>
      <c r="AA102" s="176"/>
      <c r="AB102" s="176">
        <v>199.3</v>
      </c>
      <c r="AC102" s="176"/>
      <c r="AD102" s="176"/>
      <c r="AE102" s="176"/>
      <c r="AF102" s="346">
        <f t="shared" si="19"/>
        <v>2846.3</v>
      </c>
    </row>
    <row r="103" spans="1:32" s="378" customFormat="1" ht="47.25" customHeight="1" outlineLevel="7" x14ac:dyDescent="0.25">
      <c r="A103" s="8"/>
      <c r="B103" s="180" t="s">
        <v>471</v>
      </c>
      <c r="C103" s="10" t="s">
        <v>479</v>
      </c>
      <c r="D103" s="68"/>
      <c r="E103" s="68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4"/>
      <c r="Q103" s="176"/>
      <c r="R103" s="176"/>
      <c r="S103" s="324">
        <v>92.1</v>
      </c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>
        <v>92.1</v>
      </c>
      <c r="AF103" s="346">
        <f t="shared" si="19"/>
        <v>92.1</v>
      </c>
    </row>
    <row r="104" spans="1:32" s="378" customFormat="1" ht="46.5" customHeight="1" outlineLevel="7" x14ac:dyDescent="0.25">
      <c r="A104" s="8"/>
      <c r="B104" s="180" t="s">
        <v>472</v>
      </c>
      <c r="C104" s="10" t="s">
        <v>480</v>
      </c>
      <c r="D104" s="68"/>
      <c r="E104" s="68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4"/>
      <c r="Q104" s="176"/>
      <c r="R104" s="176"/>
      <c r="S104" s="324">
        <f>489.4+29.1</f>
        <v>518.5</v>
      </c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>
        <v>518.5</v>
      </c>
      <c r="AF104" s="346">
        <f t="shared" si="19"/>
        <v>518.5</v>
      </c>
    </row>
    <row r="105" spans="1:32" s="378" customFormat="1" ht="60" outlineLevel="7" x14ac:dyDescent="0.25">
      <c r="A105" s="8" t="s">
        <v>95</v>
      </c>
      <c r="B105" s="180" t="s">
        <v>135</v>
      </c>
      <c r="C105" s="10" t="s">
        <v>457</v>
      </c>
      <c r="D105" s="68"/>
      <c r="E105" s="68"/>
      <c r="F105" s="176"/>
      <c r="G105" s="176"/>
      <c r="H105" s="176">
        <v>4415.8999999999996</v>
      </c>
      <c r="I105" s="176">
        <v>-837.3</v>
      </c>
      <c r="J105" s="176">
        <v>-2518.8000000000002</v>
      </c>
      <c r="K105" s="176"/>
      <c r="L105" s="176"/>
      <c r="M105" s="176">
        <v>2938.6</v>
      </c>
      <c r="N105" s="176">
        <v>742.3</v>
      </c>
      <c r="O105" s="176"/>
      <c r="P105" s="174"/>
      <c r="Q105" s="174"/>
      <c r="R105" s="176">
        <v>4740.6000000000004</v>
      </c>
      <c r="S105" s="324">
        <f>3986.1+1380.3-431.4</f>
        <v>4935</v>
      </c>
      <c r="T105" s="176"/>
      <c r="U105" s="176"/>
      <c r="V105" s="176">
        <v>4935</v>
      </c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346">
        <f t="shared" si="19"/>
        <v>4935</v>
      </c>
    </row>
    <row r="106" spans="1:32" s="378" customFormat="1" ht="82.5" customHeight="1" outlineLevel="7" x14ac:dyDescent="0.25">
      <c r="A106" s="178"/>
      <c r="B106" s="341" t="s">
        <v>486</v>
      </c>
      <c r="C106" s="179" t="s">
        <v>487</v>
      </c>
      <c r="D106" s="68"/>
      <c r="E106" s="68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4"/>
      <c r="Q106" s="174"/>
      <c r="R106" s="176"/>
      <c r="S106" s="324">
        <v>182.3</v>
      </c>
      <c r="T106" s="176"/>
      <c r="U106" s="176"/>
      <c r="V106" s="176"/>
      <c r="W106" s="176"/>
      <c r="X106" s="176"/>
      <c r="Y106" s="176"/>
      <c r="Z106" s="176"/>
      <c r="AA106" s="176"/>
      <c r="AB106" s="176">
        <v>45.6</v>
      </c>
      <c r="AC106" s="176">
        <v>45.5</v>
      </c>
      <c r="AD106" s="176">
        <v>45.6</v>
      </c>
      <c r="AE106" s="176">
        <v>45.6</v>
      </c>
      <c r="AF106" s="346">
        <f>T106+U106+V106+W106+X106+Y106+Z106+AA106+AB106+AE106+AD106+AC106</f>
        <v>182.3</v>
      </c>
    </row>
    <row r="107" spans="1:32" s="378" customFormat="1" ht="30" outlineLevel="7" x14ac:dyDescent="0.25">
      <c r="A107" s="178"/>
      <c r="B107" s="9" t="s">
        <v>271</v>
      </c>
      <c r="C107" s="179" t="s">
        <v>360</v>
      </c>
      <c r="D107" s="68"/>
      <c r="E107" s="68"/>
      <c r="F107" s="176">
        <v>1735</v>
      </c>
      <c r="G107" s="176"/>
      <c r="H107" s="176">
        <v>62</v>
      </c>
      <c r="I107" s="176">
        <v>1735</v>
      </c>
      <c r="J107" s="176"/>
      <c r="K107" s="176"/>
      <c r="L107" s="176">
        <v>1735</v>
      </c>
      <c r="M107" s="176"/>
      <c r="N107" s="176"/>
      <c r="O107" s="176">
        <v>1673</v>
      </c>
      <c r="P107" s="176"/>
      <c r="Q107" s="176"/>
      <c r="R107" s="176">
        <f>F107+G107+H107+I107+J107+K107+L107+M107+N107+O107+P107+Q107</f>
        <v>6940</v>
      </c>
      <c r="S107" s="324">
        <v>8939.6</v>
      </c>
      <c r="T107" s="176">
        <v>2383.8000000000002</v>
      </c>
      <c r="U107" s="176"/>
      <c r="V107" s="176"/>
      <c r="W107" s="176">
        <v>2185.3000000000002</v>
      </c>
      <c r="X107" s="176"/>
      <c r="Y107" s="176"/>
      <c r="Z107" s="176">
        <v>2185.3000000000002</v>
      </c>
      <c r="AA107" s="176"/>
      <c r="AB107" s="176">
        <v>-0.1</v>
      </c>
      <c r="AC107" s="176">
        <v>2185.3000000000002</v>
      </c>
      <c r="AD107" s="176"/>
      <c r="AE107" s="176"/>
      <c r="AF107" s="346">
        <f t="shared" si="19"/>
        <v>8939.6</v>
      </c>
    </row>
    <row r="108" spans="1:32" s="378" customFormat="1" ht="21.75" customHeight="1" outlineLevel="7" x14ac:dyDescent="0.25">
      <c r="A108" s="8"/>
      <c r="B108" s="342" t="s">
        <v>143</v>
      </c>
      <c r="C108" s="24"/>
      <c r="D108" s="169">
        <v>15655.3</v>
      </c>
      <c r="E108" s="169">
        <v>45778.400000000001</v>
      </c>
      <c r="F108" s="106">
        <f t="shared" ref="F108:AE108" si="21">SUM(F109:F117)</f>
        <v>0</v>
      </c>
      <c r="G108" s="106">
        <f t="shared" si="21"/>
        <v>270.60000000000002</v>
      </c>
      <c r="H108" s="106">
        <f t="shared" si="21"/>
        <v>516.5</v>
      </c>
      <c r="I108" s="106">
        <f t="shared" si="21"/>
        <v>262.5</v>
      </c>
      <c r="J108" s="106">
        <f t="shared" si="21"/>
        <v>1044.7</v>
      </c>
      <c r="K108" s="106">
        <f t="shared" si="21"/>
        <v>1400</v>
      </c>
      <c r="L108" s="106">
        <f t="shared" si="21"/>
        <v>985.8</v>
      </c>
      <c r="M108" s="106">
        <f t="shared" si="21"/>
        <v>1578.5</v>
      </c>
      <c r="N108" s="106">
        <f t="shared" si="21"/>
        <v>277.39999999999998</v>
      </c>
      <c r="O108" s="106">
        <f t="shared" si="21"/>
        <v>20285.699999999997</v>
      </c>
      <c r="P108" s="106">
        <f t="shared" si="21"/>
        <v>330.9</v>
      </c>
      <c r="Q108" s="106">
        <f t="shared" si="21"/>
        <v>2746.1</v>
      </c>
      <c r="R108" s="106">
        <f t="shared" si="21"/>
        <v>29698.799999999999</v>
      </c>
      <c r="S108" s="106">
        <f t="shared" si="21"/>
        <v>46473</v>
      </c>
      <c r="T108" s="106">
        <f t="shared" si="21"/>
        <v>0</v>
      </c>
      <c r="U108" s="106">
        <f t="shared" si="21"/>
        <v>274.2</v>
      </c>
      <c r="V108" s="106">
        <f t="shared" si="21"/>
        <v>3635.9</v>
      </c>
      <c r="W108" s="106">
        <f t="shared" si="21"/>
        <v>659.9</v>
      </c>
      <c r="X108" s="106">
        <f t="shared" si="21"/>
        <v>705.2</v>
      </c>
      <c r="Y108" s="106">
        <f t="shared" si="21"/>
        <v>652.29999999999995</v>
      </c>
      <c r="Z108" s="106">
        <f t="shared" si="21"/>
        <v>72.900000000000006</v>
      </c>
      <c r="AA108" s="106">
        <f t="shared" si="21"/>
        <v>7529.7000000000007</v>
      </c>
      <c r="AB108" s="106">
        <f t="shared" si="21"/>
        <v>15122.9</v>
      </c>
      <c r="AC108" s="106">
        <f t="shared" si="21"/>
        <v>15805</v>
      </c>
      <c r="AD108" s="106">
        <f t="shared" si="21"/>
        <v>1046.8</v>
      </c>
      <c r="AE108" s="106">
        <f t="shared" si="21"/>
        <v>968.2</v>
      </c>
      <c r="AF108" s="338">
        <f t="shared" si="19"/>
        <v>46473</v>
      </c>
    </row>
    <row r="109" spans="1:32" s="19" customFormat="1" ht="63" customHeight="1" outlineLevel="7" x14ac:dyDescent="0.25">
      <c r="A109" s="18"/>
      <c r="B109" s="9" t="s">
        <v>332</v>
      </c>
      <c r="C109" s="20" t="s">
        <v>275</v>
      </c>
      <c r="D109" s="173"/>
      <c r="E109" s="173"/>
      <c r="F109" s="176"/>
      <c r="G109" s="176"/>
      <c r="H109" s="176">
        <v>381.2</v>
      </c>
      <c r="I109" s="176">
        <v>127.1</v>
      </c>
      <c r="J109" s="176">
        <v>381.2</v>
      </c>
      <c r="K109" s="176"/>
      <c r="L109" s="176">
        <v>63.5</v>
      </c>
      <c r="M109" s="176">
        <v>63.6</v>
      </c>
      <c r="N109" s="176">
        <v>127.1</v>
      </c>
      <c r="O109" s="176">
        <v>127</v>
      </c>
      <c r="P109" s="176">
        <v>127.1</v>
      </c>
      <c r="Q109" s="176">
        <v>127.1</v>
      </c>
      <c r="R109" s="176">
        <f>F109+G109+H109+I109+J109+K109+L109+M109+N109+O109+P109+Q109</f>
        <v>1524.8999999999999</v>
      </c>
      <c r="S109" s="324">
        <v>1556</v>
      </c>
      <c r="T109" s="176"/>
      <c r="U109" s="176"/>
      <c r="V109" s="176"/>
      <c r="W109" s="176">
        <v>524</v>
      </c>
      <c r="X109" s="176">
        <f>300+131</f>
        <v>431</v>
      </c>
      <c r="Y109" s="176"/>
      <c r="Z109" s="176"/>
      <c r="AA109" s="176">
        <v>93</v>
      </c>
      <c r="AB109" s="176">
        <v>131</v>
      </c>
      <c r="AC109" s="176">
        <v>131</v>
      </c>
      <c r="AD109" s="176">
        <v>131</v>
      </c>
      <c r="AE109" s="176">
        <v>115</v>
      </c>
      <c r="AF109" s="346">
        <f t="shared" si="19"/>
        <v>1556</v>
      </c>
    </row>
    <row r="110" spans="1:32" s="19" customFormat="1" ht="33" customHeight="1" outlineLevel="7" x14ac:dyDescent="0.25">
      <c r="A110" s="18"/>
      <c r="B110" s="227" t="s">
        <v>333</v>
      </c>
      <c r="C110" s="20" t="s">
        <v>228</v>
      </c>
      <c r="D110" s="173"/>
      <c r="E110" s="173"/>
      <c r="F110" s="174"/>
      <c r="G110" s="174"/>
      <c r="H110" s="176"/>
      <c r="I110" s="176"/>
      <c r="J110" s="176"/>
      <c r="K110" s="174"/>
      <c r="L110" s="176"/>
      <c r="M110" s="174"/>
      <c r="N110" s="176"/>
      <c r="O110" s="174"/>
      <c r="P110" s="176"/>
      <c r="Q110" s="176">
        <v>869</v>
      </c>
      <c r="R110" s="176">
        <f>F110+G110+H110+I110+J110+K110+L110+M110+N110+O110+P110+Q110</f>
        <v>869</v>
      </c>
      <c r="S110" s="324">
        <v>689</v>
      </c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>
        <v>689</v>
      </c>
      <c r="AF110" s="346">
        <f t="shared" si="19"/>
        <v>689</v>
      </c>
    </row>
    <row r="111" spans="1:32" s="19" customFormat="1" ht="79.5" customHeight="1" outlineLevel="7" x14ac:dyDescent="0.25">
      <c r="A111" s="18"/>
      <c r="B111" s="228" t="s">
        <v>376</v>
      </c>
      <c r="C111" s="20" t="s">
        <v>363</v>
      </c>
      <c r="D111" s="173"/>
      <c r="E111" s="173"/>
      <c r="F111" s="176"/>
      <c r="G111" s="176">
        <v>259.8</v>
      </c>
      <c r="H111" s="176">
        <v>129.9</v>
      </c>
      <c r="I111" s="176">
        <v>129.9</v>
      </c>
      <c r="J111" s="176">
        <v>389.8</v>
      </c>
      <c r="K111" s="176"/>
      <c r="L111" s="176">
        <v>65</v>
      </c>
      <c r="M111" s="176">
        <v>65</v>
      </c>
      <c r="N111" s="176">
        <v>129.9</v>
      </c>
      <c r="O111" s="176">
        <v>129.9</v>
      </c>
      <c r="P111" s="176">
        <v>86.5</v>
      </c>
      <c r="Q111" s="174"/>
      <c r="R111" s="176">
        <f>F111+G111+H111+I111+J111+K111+L111+M111+N111+O111+P111+Q111</f>
        <v>1385.7000000000003</v>
      </c>
      <c r="S111" s="324">
        <v>1537</v>
      </c>
      <c r="T111" s="176"/>
      <c r="U111" s="176">
        <v>263.2</v>
      </c>
      <c r="V111" s="176">
        <v>130.5</v>
      </c>
      <c r="W111" s="176">
        <v>130.5</v>
      </c>
      <c r="X111" s="176">
        <v>263.2</v>
      </c>
      <c r="Y111" s="176">
        <v>130.5</v>
      </c>
      <c r="Z111" s="176">
        <v>70</v>
      </c>
      <c r="AA111" s="176"/>
      <c r="AB111" s="176">
        <f>135.9-5.4</f>
        <v>130.5</v>
      </c>
      <c r="AC111" s="176">
        <v>130.5</v>
      </c>
      <c r="AD111" s="176">
        <v>130.5</v>
      </c>
      <c r="AE111" s="176">
        <v>157.6</v>
      </c>
      <c r="AF111" s="346">
        <f t="shared" si="19"/>
        <v>1537</v>
      </c>
    </row>
    <row r="112" spans="1:32" s="19" customFormat="1" ht="81" customHeight="1" outlineLevel="7" x14ac:dyDescent="0.25">
      <c r="A112" s="18"/>
      <c r="B112" s="229" t="s">
        <v>375</v>
      </c>
      <c r="C112" s="20" t="s">
        <v>362</v>
      </c>
      <c r="D112" s="173"/>
      <c r="E112" s="173"/>
      <c r="F112" s="176"/>
      <c r="G112" s="176">
        <v>10.8</v>
      </c>
      <c r="H112" s="176">
        <v>5.4</v>
      </c>
      <c r="I112" s="176">
        <v>5.5</v>
      </c>
      <c r="J112" s="176">
        <v>16.2</v>
      </c>
      <c r="K112" s="176"/>
      <c r="L112" s="176">
        <v>2.7</v>
      </c>
      <c r="M112" s="176">
        <v>2.7</v>
      </c>
      <c r="N112" s="176">
        <v>5.4</v>
      </c>
      <c r="O112" s="176">
        <v>5.4</v>
      </c>
      <c r="P112" s="176">
        <f>5.4-1.8</f>
        <v>3.6000000000000005</v>
      </c>
      <c r="Q112" s="174"/>
      <c r="R112" s="176">
        <v>57.8</v>
      </c>
      <c r="S112" s="324">
        <v>64.099999999999994</v>
      </c>
      <c r="T112" s="176"/>
      <c r="U112" s="176">
        <v>11</v>
      </c>
      <c r="V112" s="176">
        <v>5.4</v>
      </c>
      <c r="W112" s="176">
        <v>5.4</v>
      </c>
      <c r="X112" s="176">
        <v>11</v>
      </c>
      <c r="Y112" s="176">
        <v>5.4</v>
      </c>
      <c r="Z112" s="176">
        <v>2.9</v>
      </c>
      <c r="AA112" s="176">
        <v>0.1</v>
      </c>
      <c r="AB112" s="176">
        <v>5.4</v>
      </c>
      <c r="AC112" s="176">
        <v>5.4</v>
      </c>
      <c r="AD112" s="176">
        <v>5.4</v>
      </c>
      <c r="AE112" s="176">
        <v>6.7</v>
      </c>
      <c r="AF112" s="346">
        <f t="shared" si="19"/>
        <v>64.099999999999994</v>
      </c>
    </row>
    <row r="113" spans="1:32" s="19" customFormat="1" ht="44.25" customHeight="1" outlineLevel="7" x14ac:dyDescent="0.25">
      <c r="A113" s="18"/>
      <c r="B113" s="232" t="s">
        <v>385</v>
      </c>
      <c r="C113" s="20" t="s">
        <v>384</v>
      </c>
      <c r="D113" s="173"/>
      <c r="E113" s="173"/>
      <c r="F113" s="176"/>
      <c r="G113" s="176"/>
      <c r="H113" s="176"/>
      <c r="I113" s="176"/>
      <c r="J113" s="176"/>
      <c r="K113" s="176">
        <v>1400</v>
      </c>
      <c r="L113" s="176"/>
      <c r="M113" s="176"/>
      <c r="N113" s="176"/>
      <c r="O113" s="176"/>
      <c r="P113" s="174"/>
      <c r="Q113" s="176">
        <v>1750</v>
      </c>
      <c r="R113" s="176">
        <f t="shared" ref="R113:R120" si="22">F113+G113+H113+I113+J113+K113+L113+M113+N113+O113+P113+Q113</f>
        <v>3150</v>
      </c>
      <c r="S113" s="324">
        <v>3500</v>
      </c>
      <c r="T113" s="176"/>
      <c r="U113" s="176"/>
      <c r="V113" s="176">
        <v>3500</v>
      </c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346">
        <f t="shared" si="19"/>
        <v>3500</v>
      </c>
    </row>
    <row r="114" spans="1:32" s="19" customFormat="1" ht="81" customHeight="1" outlineLevel="7" x14ac:dyDescent="0.25">
      <c r="A114" s="18"/>
      <c r="B114" s="290" t="s">
        <v>415</v>
      </c>
      <c r="C114" s="20" t="s">
        <v>414</v>
      </c>
      <c r="D114" s="173"/>
      <c r="E114" s="173"/>
      <c r="F114" s="176"/>
      <c r="G114" s="176"/>
      <c r="H114" s="176"/>
      <c r="I114" s="176"/>
      <c r="J114" s="176"/>
      <c r="K114" s="176"/>
      <c r="L114" s="176"/>
      <c r="M114" s="176">
        <v>984.9</v>
      </c>
      <c r="N114" s="176"/>
      <c r="O114" s="176"/>
      <c r="P114" s="174"/>
      <c r="Q114" s="174"/>
      <c r="R114" s="176">
        <f t="shared" si="22"/>
        <v>984.9</v>
      </c>
      <c r="S114" s="324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346">
        <f t="shared" si="19"/>
        <v>0</v>
      </c>
    </row>
    <row r="115" spans="1:32" s="19" customFormat="1" ht="67.5" customHeight="1" outlineLevel="7" x14ac:dyDescent="0.25">
      <c r="A115" s="18"/>
      <c r="B115" s="9" t="s">
        <v>335</v>
      </c>
      <c r="C115" s="20" t="s">
        <v>274</v>
      </c>
      <c r="D115" s="173"/>
      <c r="E115" s="173"/>
      <c r="F115" s="176"/>
      <c r="G115" s="176"/>
      <c r="H115" s="176"/>
      <c r="I115" s="176"/>
      <c r="J115" s="176"/>
      <c r="K115" s="176"/>
      <c r="L115" s="176">
        <v>854.6</v>
      </c>
      <c r="M115" s="176"/>
      <c r="N115" s="176"/>
      <c r="O115" s="176">
        <v>854.5</v>
      </c>
      <c r="P115" s="174"/>
      <c r="Q115" s="174"/>
      <c r="R115" s="176">
        <f t="shared" si="22"/>
        <v>1709.1</v>
      </c>
      <c r="S115" s="324">
        <v>10320.9</v>
      </c>
      <c r="T115" s="176"/>
      <c r="U115" s="176"/>
      <c r="V115" s="176"/>
      <c r="W115" s="176"/>
      <c r="X115" s="176"/>
      <c r="Y115" s="176"/>
      <c r="Z115" s="176"/>
      <c r="AA115" s="176">
        <v>7297.5</v>
      </c>
      <c r="AB115" s="176"/>
      <c r="AC115" s="176">
        <v>3023.4</v>
      </c>
      <c r="AD115" s="176"/>
      <c r="AE115" s="176"/>
      <c r="AF115" s="346">
        <f t="shared" si="19"/>
        <v>10320.9</v>
      </c>
    </row>
    <row r="116" spans="1:32" s="19" customFormat="1" ht="23.25" customHeight="1" outlineLevel="7" x14ac:dyDescent="0.25">
      <c r="A116" s="18"/>
      <c r="B116" s="133" t="s">
        <v>229</v>
      </c>
      <c r="C116" s="20" t="s">
        <v>230</v>
      </c>
      <c r="D116" s="173"/>
      <c r="E116" s="173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>
        <v>18822.599999999999</v>
      </c>
      <c r="P116" s="174"/>
      <c r="Q116" s="174"/>
      <c r="R116" s="176">
        <f t="shared" si="22"/>
        <v>18822.599999999999</v>
      </c>
      <c r="S116" s="324">
        <f>7856+19039.2</f>
        <v>26895.200000000001</v>
      </c>
      <c r="T116" s="176"/>
      <c r="U116" s="176"/>
      <c r="V116" s="176"/>
      <c r="W116" s="176"/>
      <c r="X116" s="176"/>
      <c r="Y116" s="176"/>
      <c r="Z116" s="176"/>
      <c r="AA116" s="176"/>
      <c r="AB116" s="176">
        <v>14856</v>
      </c>
      <c r="AC116" s="176">
        <v>12039.2</v>
      </c>
      <c r="AD116" s="176"/>
      <c r="AE116" s="176"/>
      <c r="AF116" s="346">
        <f t="shared" si="19"/>
        <v>26895.200000000001</v>
      </c>
    </row>
    <row r="117" spans="1:32" s="19" customFormat="1" ht="22.5" customHeight="1" outlineLevel="7" x14ac:dyDescent="0.25">
      <c r="A117" s="18"/>
      <c r="B117" s="133" t="s">
        <v>205</v>
      </c>
      <c r="C117" s="20" t="s">
        <v>216</v>
      </c>
      <c r="D117" s="173"/>
      <c r="E117" s="173"/>
      <c r="F117" s="176"/>
      <c r="G117" s="176"/>
      <c r="H117" s="176"/>
      <c r="I117" s="176"/>
      <c r="J117" s="176">
        <v>257.5</v>
      </c>
      <c r="K117" s="176"/>
      <c r="L117" s="176"/>
      <c r="M117" s="176">
        <v>462.3</v>
      </c>
      <c r="N117" s="176">
        <v>15</v>
      </c>
      <c r="O117" s="176">
        <v>346.3</v>
      </c>
      <c r="P117" s="176">
        <v>113.7</v>
      </c>
      <c r="Q117" s="174"/>
      <c r="R117" s="176">
        <f t="shared" si="22"/>
        <v>1194.8</v>
      </c>
      <c r="S117" s="324">
        <v>1910.8</v>
      </c>
      <c r="T117" s="176"/>
      <c r="U117" s="176"/>
      <c r="V117" s="176"/>
      <c r="W117" s="176"/>
      <c r="X117" s="176"/>
      <c r="Y117" s="176">
        <v>516.4</v>
      </c>
      <c r="Z117" s="176"/>
      <c r="AA117" s="176">
        <v>139.1</v>
      </c>
      <c r="AB117" s="176"/>
      <c r="AC117" s="176">
        <v>475.5</v>
      </c>
      <c r="AD117" s="176">
        <v>779.9</v>
      </c>
      <c r="AE117" s="176">
        <v>-0.1</v>
      </c>
      <c r="AF117" s="346">
        <f t="shared" si="19"/>
        <v>1910.8</v>
      </c>
    </row>
    <row r="118" spans="1:32" s="19" customFormat="1" ht="45.75" customHeight="1" outlineLevel="7" x14ac:dyDescent="0.25">
      <c r="A118" s="18"/>
      <c r="B118" s="233" t="s">
        <v>554</v>
      </c>
      <c r="C118" s="24"/>
      <c r="D118" s="169">
        <f>477.5+122.5</f>
        <v>600</v>
      </c>
      <c r="E118" s="169">
        <v>991.4</v>
      </c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76">
        <f t="shared" si="22"/>
        <v>0</v>
      </c>
      <c r="S118" s="324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346">
        <f t="shared" si="19"/>
        <v>0</v>
      </c>
    </row>
    <row r="119" spans="1:32" s="19" customFormat="1" ht="60.75" customHeight="1" outlineLevel="7" x14ac:dyDescent="0.25">
      <c r="A119" s="18"/>
      <c r="B119" s="334" t="s">
        <v>196</v>
      </c>
      <c r="C119" s="307"/>
      <c r="D119" s="333">
        <v>1184.5</v>
      </c>
      <c r="E119" s="333">
        <v>2093.5</v>
      </c>
      <c r="F119" s="236"/>
      <c r="G119" s="236"/>
      <c r="H119" s="236">
        <v>116.9</v>
      </c>
      <c r="I119" s="236"/>
      <c r="J119" s="236"/>
      <c r="K119" s="236"/>
      <c r="L119" s="236"/>
      <c r="M119" s="236"/>
      <c r="N119" s="236"/>
      <c r="O119" s="236"/>
      <c r="P119" s="236"/>
      <c r="Q119" s="236"/>
      <c r="R119" s="174">
        <f t="shared" si="22"/>
        <v>116.9</v>
      </c>
      <c r="S119" s="318">
        <v>989.8</v>
      </c>
      <c r="T119" s="174"/>
      <c r="U119" s="174">
        <v>989.8</v>
      </c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346">
        <f t="shared" si="19"/>
        <v>989.8</v>
      </c>
    </row>
    <row r="120" spans="1:32" s="378" customFormat="1" ht="71.25" customHeight="1" outlineLevel="7" x14ac:dyDescent="0.25">
      <c r="A120" s="8"/>
      <c r="B120" s="332" t="s">
        <v>197</v>
      </c>
      <c r="C120" s="307"/>
      <c r="D120" s="333">
        <v>-2187.4</v>
      </c>
      <c r="E120" s="333">
        <v>-10205.299999999999</v>
      </c>
      <c r="F120" s="236">
        <v>-1575</v>
      </c>
      <c r="G120" s="236">
        <v>1034.9000000000001</v>
      </c>
      <c r="H120" s="236">
        <v>-24</v>
      </c>
      <c r="I120" s="236">
        <v>-11.8</v>
      </c>
      <c r="J120" s="236">
        <v>-1001.6</v>
      </c>
      <c r="K120" s="236"/>
      <c r="L120" s="236"/>
      <c r="M120" s="236"/>
      <c r="N120" s="236"/>
      <c r="O120" s="236"/>
      <c r="P120" s="236"/>
      <c r="Q120" s="236"/>
      <c r="R120" s="174">
        <f t="shared" si="22"/>
        <v>-1577.5</v>
      </c>
      <c r="S120" s="318">
        <v>-2707.5</v>
      </c>
      <c r="T120" s="174">
        <v>-1891.6</v>
      </c>
      <c r="U120" s="174">
        <v>33.4</v>
      </c>
      <c r="V120" s="174">
        <v>-849.2</v>
      </c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346">
        <v>-2707.5</v>
      </c>
    </row>
    <row r="121" spans="1:32" s="378" customFormat="1" ht="36.75" customHeight="1" x14ac:dyDescent="0.25">
      <c r="A121" s="13"/>
      <c r="B121" s="353" t="s">
        <v>292</v>
      </c>
      <c r="C121" s="354"/>
      <c r="D121" s="106">
        <f>D32+D31-0.1</f>
        <v>766017.29999999993</v>
      </c>
      <c r="E121" s="106">
        <f>E32+E31-0.1</f>
        <v>958695.4</v>
      </c>
      <c r="F121" s="106">
        <f t="shared" ref="F121:AF121" si="23">F32+F31</f>
        <v>45562.700000000012</v>
      </c>
      <c r="G121" s="106">
        <f t="shared" si="23"/>
        <v>59135.199999999997</v>
      </c>
      <c r="H121" s="106">
        <f t="shared" si="23"/>
        <v>313188.50000000006</v>
      </c>
      <c r="I121" s="106">
        <f t="shared" si="23"/>
        <v>99865.799999999988</v>
      </c>
      <c r="J121" s="106">
        <f t="shared" si="23"/>
        <v>78194.200000000012</v>
      </c>
      <c r="K121" s="106">
        <f t="shared" si="23"/>
        <v>81725.2</v>
      </c>
      <c r="L121" s="106">
        <f t="shared" si="23"/>
        <v>89614.700000000012</v>
      </c>
      <c r="M121" s="106">
        <f t="shared" si="23"/>
        <v>165586.89999999997</v>
      </c>
      <c r="N121" s="106">
        <f t="shared" si="23"/>
        <v>122365.59999999998</v>
      </c>
      <c r="O121" s="106">
        <f t="shared" si="23"/>
        <v>112039.6</v>
      </c>
      <c r="P121" s="106">
        <f t="shared" si="23"/>
        <v>128857.69999999998</v>
      </c>
      <c r="Q121" s="106">
        <f t="shared" si="23"/>
        <v>184889.30000000002</v>
      </c>
      <c r="R121" s="106">
        <f t="shared" si="23"/>
        <v>1481025.5</v>
      </c>
      <c r="S121" s="106">
        <f t="shared" si="23"/>
        <v>1305682.8</v>
      </c>
      <c r="T121" s="106">
        <f t="shared" si="23"/>
        <v>57772.200000000004</v>
      </c>
      <c r="U121" s="106">
        <f t="shared" si="23"/>
        <v>66039.299999999988</v>
      </c>
      <c r="V121" s="106">
        <f t="shared" si="23"/>
        <v>93243.3</v>
      </c>
      <c r="W121" s="106">
        <f t="shared" si="23"/>
        <v>189024.89999999997</v>
      </c>
      <c r="X121" s="106">
        <f t="shared" si="23"/>
        <v>47266.100000000006</v>
      </c>
      <c r="Y121" s="106">
        <f t="shared" si="23"/>
        <v>106148.00000000001</v>
      </c>
      <c r="Z121" s="106">
        <f t="shared" si="23"/>
        <v>95535.4</v>
      </c>
      <c r="AA121" s="106">
        <f t="shared" si="23"/>
        <v>99327.200000000012</v>
      </c>
      <c r="AB121" s="106">
        <f t="shared" si="23"/>
        <v>114787.7</v>
      </c>
      <c r="AC121" s="106">
        <f t="shared" si="23"/>
        <v>143547.16999999998</v>
      </c>
      <c r="AD121" s="106">
        <f t="shared" si="23"/>
        <v>105708.5</v>
      </c>
      <c r="AE121" s="106">
        <f t="shared" si="23"/>
        <v>173774.9</v>
      </c>
      <c r="AF121" s="106">
        <f t="shared" si="23"/>
        <v>1292174.2999999998</v>
      </c>
    </row>
    <row r="122" spans="1:32" ht="12.75" customHeight="1" x14ac:dyDescent="0.2">
      <c r="D122">
        <v>766017.3</v>
      </c>
      <c r="R122" s="93">
        <v>1481025.5</v>
      </c>
      <c r="S122" s="93">
        <v>1305682.8</v>
      </c>
    </row>
  </sheetData>
  <mergeCells count="1">
    <mergeCell ref="B1:AF1"/>
  </mergeCells>
  <pageMargins left="0.55118110236220474" right="0.11811023622047245" top="0.11811023622047245" bottom="0.11811023622047245" header="0.51181102362204722" footer="0.51181102362204722"/>
  <pageSetup paperSize="9" scale="46" fitToHeight="4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CB132"/>
  <sheetViews>
    <sheetView topLeftCell="B1" zoomScale="69" zoomScaleNormal="69" workbookViewId="0">
      <pane xSplit="5" ySplit="4" topLeftCell="AZ53" activePane="bottomRight" state="frozen"/>
      <selection activeCell="B1" sqref="B1"/>
      <selection pane="topRight" activeCell="G1" sqref="G1"/>
      <selection pane="bottomLeft" activeCell="B5" sqref="B5"/>
      <selection pane="bottomRight" activeCell="B107" sqref="B107"/>
    </sheetView>
  </sheetViews>
  <sheetFormatPr defaultRowHeight="12.75" customHeight="1" outlineLevelRow="7" x14ac:dyDescent="0.2"/>
  <cols>
    <col min="1" max="1" width="17.85546875" style="6" hidden="1" customWidth="1"/>
    <col min="2" max="2" width="35" customWidth="1"/>
    <col min="3" max="3" width="4.5703125" customWidth="1"/>
    <col min="4" max="4" width="12.28515625" hidden="1" customWidth="1"/>
    <col min="5" max="5" width="12.7109375" hidden="1" customWidth="1"/>
    <col min="6" max="6" width="13.7109375" hidden="1" customWidth="1"/>
    <col min="7" max="7" width="11.28515625" hidden="1" customWidth="1"/>
    <col min="8" max="8" width="11" hidden="1" customWidth="1"/>
    <col min="9" max="9" width="10.140625" hidden="1" customWidth="1"/>
    <col min="10" max="10" width="11.28515625" hidden="1" customWidth="1"/>
    <col min="11" max="11" width="9.28515625" hidden="1" customWidth="1"/>
    <col min="12" max="12" width="10.85546875" hidden="1" customWidth="1"/>
    <col min="13" max="13" width="21.7109375" style="93" hidden="1" customWidth="1"/>
    <col min="14" max="14" width="14" style="93" hidden="1" customWidth="1"/>
    <col min="15" max="29" width="12.140625" style="93" hidden="1" customWidth="1"/>
    <col min="30" max="30" width="14.7109375" style="93" hidden="1" customWidth="1"/>
    <col min="31" max="34" width="13.5703125" style="93" hidden="1" customWidth="1"/>
    <col min="35" max="35" width="11" style="93" hidden="1" customWidth="1"/>
    <col min="36" max="51" width="12.140625" style="93" hidden="1" customWidth="1"/>
    <col min="52" max="52" width="13.140625" style="93" customWidth="1"/>
    <col min="53" max="53" width="12.5703125" style="93" customWidth="1"/>
    <col min="54" max="54" width="12" style="93" customWidth="1"/>
    <col min="55" max="55" width="12.140625" style="93" customWidth="1"/>
    <col min="56" max="56" width="14.140625" style="93" customWidth="1"/>
    <col min="57" max="57" width="12.7109375" style="93" customWidth="1"/>
    <col min="58" max="58" width="13" style="93" customWidth="1"/>
    <col min="59" max="62" width="12.140625" style="93" customWidth="1"/>
    <col min="63" max="63" width="14.5703125" style="93" customWidth="1"/>
    <col min="64" max="64" width="14.42578125" style="93" customWidth="1"/>
    <col min="65" max="67" width="12.85546875" hidden="1" customWidth="1"/>
    <col min="68" max="68" width="12.5703125" hidden="1" customWidth="1"/>
    <col min="69" max="69" width="14.42578125" hidden="1" customWidth="1"/>
    <col min="70" max="70" width="13.5703125" hidden="1" customWidth="1"/>
    <col min="71" max="71" width="15.42578125" hidden="1" customWidth="1"/>
    <col min="72" max="72" width="13.5703125" hidden="1" customWidth="1"/>
    <col min="73" max="74" width="15.42578125" hidden="1" customWidth="1"/>
    <col min="75" max="76" width="13.140625" style="93" hidden="1" customWidth="1"/>
    <col min="77" max="77" width="15.7109375" hidden="1" customWidth="1"/>
    <col min="78" max="78" width="10.42578125" bestFit="1" customWidth="1"/>
    <col min="79" max="79" width="18.42578125" customWidth="1"/>
    <col min="80" max="80" width="16.140625" customWidth="1"/>
  </cols>
  <sheetData>
    <row r="1" spans="1:77" ht="15" customHeight="1" x14ac:dyDescent="0.2">
      <c r="A1" s="3"/>
      <c r="B1" s="632" t="s">
        <v>454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C1" s="633"/>
      <c r="AD1" s="633"/>
      <c r="AE1" s="633"/>
      <c r="AF1" s="633"/>
      <c r="AG1" s="633"/>
      <c r="AH1" s="633"/>
      <c r="AI1" s="633"/>
      <c r="AJ1" s="633"/>
      <c r="AK1" s="633"/>
      <c r="AL1" s="633"/>
      <c r="AM1" s="633"/>
      <c r="AN1" s="633"/>
      <c r="AO1" s="633"/>
      <c r="AP1" s="633"/>
      <c r="AQ1" s="633"/>
      <c r="AR1" s="633"/>
      <c r="AS1" s="633"/>
      <c r="AT1" s="633"/>
      <c r="AU1" s="633"/>
      <c r="AV1" s="633"/>
      <c r="AW1" s="633"/>
      <c r="AX1" s="633"/>
      <c r="AY1" s="633"/>
      <c r="AZ1" s="633"/>
      <c r="BA1" s="633"/>
      <c r="BB1" s="633"/>
      <c r="BC1" s="633"/>
      <c r="BD1" s="633"/>
      <c r="BE1" s="633"/>
      <c r="BF1" s="633"/>
      <c r="BG1" s="633"/>
      <c r="BH1" s="633"/>
      <c r="BI1" s="633"/>
      <c r="BJ1" s="633"/>
      <c r="BK1" s="633"/>
      <c r="BL1" s="633"/>
      <c r="BM1" s="309"/>
      <c r="BN1" s="17"/>
      <c r="BW1"/>
      <c r="BX1"/>
    </row>
    <row r="2" spans="1:77" ht="15" customHeight="1" thickBot="1" x14ac:dyDescent="0.3">
      <c r="A2" s="3"/>
      <c r="C2" s="1"/>
      <c r="D2" s="1"/>
      <c r="E2" s="7"/>
      <c r="F2" s="1"/>
      <c r="G2" s="1"/>
      <c r="H2" s="1"/>
      <c r="I2" s="1"/>
      <c r="J2" s="1"/>
      <c r="K2" s="1"/>
      <c r="L2" s="1"/>
      <c r="M2" s="214" t="s">
        <v>136</v>
      </c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O2" s="244" t="s">
        <v>367</v>
      </c>
      <c r="BQ2" s="100"/>
    </row>
    <row r="3" spans="1:77" ht="73.5" customHeight="1" x14ac:dyDescent="0.2">
      <c r="A3" s="4" t="s">
        <v>0</v>
      </c>
      <c r="B3" s="63" t="s">
        <v>1</v>
      </c>
      <c r="C3" s="63"/>
      <c r="D3" s="63" t="s">
        <v>323</v>
      </c>
      <c r="E3" s="63" t="s">
        <v>377</v>
      </c>
      <c r="F3" s="134" t="s">
        <v>338</v>
      </c>
      <c r="G3" s="63" t="s">
        <v>340</v>
      </c>
      <c r="H3" s="63" t="s">
        <v>324</v>
      </c>
      <c r="I3" s="63" t="s">
        <v>341</v>
      </c>
      <c r="J3" s="63" t="s">
        <v>286</v>
      </c>
      <c r="K3" s="63" t="s">
        <v>193</v>
      </c>
      <c r="L3" s="64" t="s">
        <v>329</v>
      </c>
      <c r="M3" s="134" t="s">
        <v>322</v>
      </c>
      <c r="N3" s="190" t="s">
        <v>322</v>
      </c>
      <c r="O3" s="83" t="s">
        <v>150</v>
      </c>
      <c r="P3" s="84" t="s">
        <v>151</v>
      </c>
      <c r="Q3" s="84" t="s">
        <v>152</v>
      </c>
      <c r="R3" s="120" t="s">
        <v>202</v>
      </c>
      <c r="S3" s="83" t="s">
        <v>153</v>
      </c>
      <c r="T3" s="84" t="s">
        <v>154</v>
      </c>
      <c r="U3" s="84" t="s">
        <v>155</v>
      </c>
      <c r="V3" s="120" t="s">
        <v>217</v>
      </c>
      <c r="W3" s="83" t="s">
        <v>156</v>
      </c>
      <c r="X3" s="84" t="s">
        <v>157</v>
      </c>
      <c r="Y3" s="84" t="s">
        <v>158</v>
      </c>
      <c r="Z3" s="123" t="s">
        <v>218</v>
      </c>
      <c r="AA3" s="76" t="s">
        <v>159</v>
      </c>
      <c r="AB3" s="32" t="s">
        <v>160</v>
      </c>
      <c r="AC3" s="32" t="s">
        <v>161</v>
      </c>
      <c r="AD3" s="190" t="s">
        <v>419</v>
      </c>
      <c r="AE3" s="302" t="s">
        <v>378</v>
      </c>
      <c r="AF3" s="190" t="s">
        <v>342</v>
      </c>
      <c r="AG3" s="301" t="s">
        <v>428</v>
      </c>
      <c r="AH3" s="301" t="s">
        <v>432</v>
      </c>
      <c r="AI3" s="301" t="s">
        <v>194</v>
      </c>
      <c r="AJ3" s="301" t="s">
        <v>195</v>
      </c>
      <c r="AK3" s="301" t="s">
        <v>198</v>
      </c>
      <c r="AL3" s="301" t="s">
        <v>290</v>
      </c>
      <c r="AM3" s="301" t="s">
        <v>2</v>
      </c>
      <c r="AN3" s="301" t="s">
        <v>3</v>
      </c>
      <c r="AO3" s="301" t="s">
        <v>4</v>
      </c>
      <c r="AP3" s="301" t="s">
        <v>5</v>
      </c>
      <c r="AQ3" s="301" t="s">
        <v>96</v>
      </c>
      <c r="AR3" s="301" t="s">
        <v>97</v>
      </c>
      <c r="AS3" s="301" t="s">
        <v>98</v>
      </c>
      <c r="AT3" s="301" t="s">
        <v>99</v>
      </c>
      <c r="AU3" s="301" t="s">
        <v>325</v>
      </c>
      <c r="AV3" s="301"/>
      <c r="AW3" s="301"/>
      <c r="AX3" s="301"/>
      <c r="AY3" s="301" t="s">
        <v>365</v>
      </c>
      <c r="AZ3" s="303" t="s">
        <v>359</v>
      </c>
      <c r="BA3" s="303" t="s">
        <v>361</v>
      </c>
      <c r="BB3" s="303" t="s">
        <v>368</v>
      </c>
      <c r="BC3" s="303" t="s">
        <v>380</v>
      </c>
      <c r="BD3" s="303" t="s">
        <v>356</v>
      </c>
      <c r="BE3" s="303" t="s">
        <v>357</v>
      </c>
      <c r="BF3" s="303" t="s">
        <v>358</v>
      </c>
      <c r="BG3" s="303" t="s">
        <v>409</v>
      </c>
      <c r="BH3" s="303" t="s">
        <v>410</v>
      </c>
      <c r="BI3" s="303" t="s">
        <v>420</v>
      </c>
      <c r="BJ3" s="303" t="s">
        <v>427</v>
      </c>
      <c r="BK3" s="303" t="s">
        <v>435</v>
      </c>
      <c r="BL3" s="304" t="s">
        <v>343</v>
      </c>
      <c r="BM3" s="190" t="s">
        <v>431</v>
      </c>
      <c r="BN3" s="301" t="s">
        <v>429</v>
      </c>
      <c r="BO3" s="190" t="s">
        <v>430</v>
      </c>
      <c r="BP3" s="185" t="s">
        <v>416</v>
      </c>
      <c r="BQ3" s="188" t="s">
        <v>366</v>
      </c>
      <c r="BR3" s="185" t="s">
        <v>379</v>
      </c>
      <c r="BS3" s="188" t="s">
        <v>421</v>
      </c>
      <c r="BT3" s="185" t="s">
        <v>417</v>
      </c>
      <c r="BU3" s="188" t="s">
        <v>418</v>
      </c>
      <c r="BV3" s="115" t="s">
        <v>425</v>
      </c>
      <c r="BW3" s="115" t="s">
        <v>412</v>
      </c>
      <c r="BX3" s="115" t="s">
        <v>411</v>
      </c>
      <c r="BY3" s="32" t="s">
        <v>423</v>
      </c>
    </row>
    <row r="4" spans="1:77" s="14" customFormat="1" ht="17.25" customHeight="1" outlineLevel="1" x14ac:dyDescent="0.3">
      <c r="A4" s="5" t="s">
        <v>7</v>
      </c>
      <c r="B4" s="194" t="s">
        <v>100</v>
      </c>
      <c r="C4" s="137"/>
      <c r="D4" s="36">
        <v>164912.5</v>
      </c>
      <c r="E4" s="66">
        <v>169295.4</v>
      </c>
      <c r="F4" s="98">
        <v>183012.2</v>
      </c>
      <c r="G4" s="68">
        <v>8907.5</v>
      </c>
      <c r="H4" s="69">
        <v>5481.1</v>
      </c>
      <c r="I4" s="68">
        <f>237.7+273.3+1395.6</f>
        <v>1906.6</v>
      </c>
      <c r="J4" s="69">
        <f>3885.2+511.1+6157.4+3552.2</f>
        <v>14105.900000000001</v>
      </c>
      <c r="K4" s="68">
        <f>698.7+2697</f>
        <v>3395.7</v>
      </c>
      <c r="L4" s="69">
        <f>K4+J4+I4+H4+G4</f>
        <v>33796.800000000003</v>
      </c>
      <c r="M4" s="176" t="e">
        <f>L4+#REF!</f>
        <v>#REF!</v>
      </c>
      <c r="N4" s="219">
        <f>O4+P4+Q4+S4+T4+U4+W4+X4+Y4+AA4+AB4+AC4</f>
        <v>195059.69999999995</v>
      </c>
      <c r="O4" s="85">
        <v>5703.8</v>
      </c>
      <c r="P4" s="35">
        <v>14978.7</v>
      </c>
      <c r="Q4" s="35">
        <v>12671.6</v>
      </c>
      <c r="R4" s="87">
        <f t="shared" ref="R4:R29" si="0">O4+P4+Q4</f>
        <v>33354.1</v>
      </c>
      <c r="S4" s="85">
        <v>15998.1</v>
      </c>
      <c r="T4" s="35">
        <v>13436.7</v>
      </c>
      <c r="U4" s="35">
        <v>17376.5</v>
      </c>
      <c r="V4" s="87">
        <f>S4+T4+U4</f>
        <v>46811.3</v>
      </c>
      <c r="W4" s="85">
        <v>15903.9</v>
      </c>
      <c r="X4" s="35">
        <v>16384.8</v>
      </c>
      <c r="Y4" s="35">
        <v>14701.9</v>
      </c>
      <c r="Z4" s="87">
        <f>W4+X4+Y4</f>
        <v>46990.6</v>
      </c>
      <c r="AA4" s="77">
        <v>16143.6</v>
      </c>
      <c r="AB4" s="35">
        <v>17963.3</v>
      </c>
      <c r="AC4" s="35">
        <v>33796.800000000003</v>
      </c>
      <c r="AD4" s="176">
        <f>R4+V4+W4+X4+Y4+AA4</f>
        <v>143299.59999999998</v>
      </c>
      <c r="AE4" s="176">
        <v>206608.1</v>
      </c>
      <c r="AF4" s="176">
        <v>213069.1</v>
      </c>
      <c r="AG4" s="176">
        <f>AH4</f>
        <v>170812.19999999998</v>
      </c>
      <c r="AH4" s="176">
        <f>AI4+AJ4+AK4+AL4+AM4+AN4+AO4+AP4+AQ4+AR4+AS4</f>
        <v>170812.19999999998</v>
      </c>
      <c r="AI4" s="176">
        <v>0</v>
      </c>
      <c r="AJ4" s="176">
        <v>16975</v>
      </c>
      <c r="AK4" s="176">
        <v>17977</v>
      </c>
      <c r="AL4" s="176">
        <v>16300</v>
      </c>
      <c r="AM4" s="176">
        <v>17850</v>
      </c>
      <c r="AN4" s="176">
        <v>18079.400000000001</v>
      </c>
      <c r="AO4" s="176">
        <v>15902</v>
      </c>
      <c r="AP4" s="176">
        <v>16777.400000000001</v>
      </c>
      <c r="AQ4" s="176">
        <v>16471</v>
      </c>
      <c r="AR4" s="176">
        <v>17080.400000000001</v>
      </c>
      <c r="AS4" s="176">
        <v>17400</v>
      </c>
      <c r="AT4" s="176">
        <v>35795.9</v>
      </c>
      <c r="AU4" s="176"/>
      <c r="AV4" s="174"/>
      <c r="AW4" s="174"/>
      <c r="AX4" s="174"/>
      <c r="AY4" s="176">
        <v>-3906.7</v>
      </c>
      <c r="AZ4" s="176">
        <v>5623.7</v>
      </c>
      <c r="BA4" s="176">
        <v>-1174.3</v>
      </c>
      <c r="BB4" s="176">
        <f>8910.8+15853.9+190.5</f>
        <v>24955.199999999997</v>
      </c>
      <c r="BC4" s="176">
        <f>3159.1-459.6+9953.3+520.2+22+4105.7</f>
        <v>17300.7</v>
      </c>
      <c r="BD4" s="176">
        <v>16823</v>
      </c>
      <c r="BE4" s="176">
        <f>442.8+20214.3</f>
        <v>20657.099999999999</v>
      </c>
      <c r="BF4" s="176">
        <f>3819.5+5040.3+9122.3+1176.6</f>
        <v>19158.699999999997</v>
      </c>
      <c r="BG4" s="176">
        <v>18470.3</v>
      </c>
      <c r="BH4" s="176">
        <f>11666.8+6415.8</f>
        <v>18082.599999999999</v>
      </c>
      <c r="BI4" s="176">
        <f>16015.8+367.3</f>
        <v>16383.099999999999</v>
      </c>
      <c r="BJ4" s="176">
        <f>2350+15233+452.3</f>
        <v>18035.3</v>
      </c>
      <c r="BK4" s="176">
        <f>4396.8+18.9+7613.6+6926.4+2.8+2456+298.9+6727+10220.6+933.6</f>
        <v>39594.6</v>
      </c>
      <c r="BL4" s="236">
        <f>AZ4+BA4+BB4+BC4+BD4+BE4+BF4+BG4+BH4+BI4+BJ4+BK4</f>
        <v>213910</v>
      </c>
      <c r="BM4" s="70">
        <f>BJ4-AS4</f>
        <v>635.29999999999927</v>
      </c>
      <c r="BN4" s="70">
        <f>BL4-AG4</f>
        <v>43097.800000000017</v>
      </c>
      <c r="BO4" s="70">
        <f>BL4-AH4</f>
        <v>43097.800000000017</v>
      </c>
      <c r="BP4" s="66">
        <f>BL4/AE4*100</f>
        <v>103.5341789600698</v>
      </c>
      <c r="BQ4" s="102">
        <f t="shared" ref="BQ4:BQ67" si="1">BL4-AE4</f>
        <v>7301.8999999999942</v>
      </c>
      <c r="BR4" s="186">
        <f>BL4/AF4*100</f>
        <v>100.39466069927549</v>
      </c>
      <c r="BS4" s="186">
        <f t="shared" ref="BS4:BS67" si="2">BL4-AF4</f>
        <v>840.89999999999418</v>
      </c>
      <c r="BT4" s="186">
        <f>BL4/AD4*100</f>
        <v>149.27466650290722</v>
      </c>
      <c r="BU4" s="186">
        <f>BL4-AD4</f>
        <v>70610.400000000023</v>
      </c>
      <c r="BV4" s="176">
        <v>18815</v>
      </c>
      <c r="BW4" s="176">
        <v>19428.7</v>
      </c>
      <c r="BX4" s="176">
        <v>34800</v>
      </c>
      <c r="BY4" s="296">
        <f>BL4+BW4+BX4</f>
        <v>268138.7</v>
      </c>
    </row>
    <row r="5" spans="1:77" s="14" customFormat="1" ht="22.5" outlineLevel="1" x14ac:dyDescent="0.3">
      <c r="A5" s="5" t="s">
        <v>8</v>
      </c>
      <c r="B5" s="194" t="s">
        <v>101</v>
      </c>
      <c r="C5" s="137"/>
      <c r="D5" s="36">
        <v>15503.8</v>
      </c>
      <c r="E5" s="66">
        <v>14478.8</v>
      </c>
      <c r="F5" s="98">
        <v>17285.400000000001</v>
      </c>
      <c r="G5" s="68">
        <v>78.3</v>
      </c>
      <c r="H5" s="69">
        <v>8.1999999999999993</v>
      </c>
      <c r="I5" s="68"/>
      <c r="J5" s="69">
        <f>1315.9+81.7</f>
        <v>1397.6000000000001</v>
      </c>
      <c r="K5" s="68">
        <f>27.4+29.8</f>
        <v>57.2</v>
      </c>
      <c r="L5" s="69">
        <f t="shared" ref="L5:L35" si="3">K5+J5+I5+H5+G5</f>
        <v>1541.3000000000002</v>
      </c>
      <c r="M5" s="176" t="e">
        <f>L5+#REF!</f>
        <v>#REF!</v>
      </c>
      <c r="N5" s="219">
        <f t="shared" ref="N5:N10" si="4">O5+P5+Q5+S5+T5+U5+W5+X5+Y5+AA5+AB5+AC5</f>
        <v>18740.199999999997</v>
      </c>
      <c r="O5" s="85">
        <v>1521.1</v>
      </c>
      <c r="P5" s="35"/>
      <c r="Q5" s="35">
        <v>2667.3</v>
      </c>
      <c r="R5" s="87">
        <f t="shared" si="0"/>
        <v>4188.3999999999996</v>
      </c>
      <c r="S5" s="85">
        <v>1070.3</v>
      </c>
      <c r="T5" s="35">
        <v>1997.7</v>
      </c>
      <c r="U5" s="35">
        <v>1538.8</v>
      </c>
      <c r="V5" s="87">
        <f t="shared" ref="V5:V13" si="5">S5+T5+U5</f>
        <v>4606.8</v>
      </c>
      <c r="W5" s="85">
        <v>1643.8</v>
      </c>
      <c r="X5" s="35">
        <v>1701.8</v>
      </c>
      <c r="Y5" s="35">
        <v>1829.4</v>
      </c>
      <c r="Z5" s="87">
        <f t="shared" ref="Z5:Z13" si="6">W5+X5+Y5</f>
        <v>5175</v>
      </c>
      <c r="AA5" s="77">
        <v>1683.3</v>
      </c>
      <c r="AB5" s="35">
        <v>1545.4</v>
      </c>
      <c r="AC5" s="35">
        <v>1541.3</v>
      </c>
      <c r="AD5" s="176">
        <f t="shared" ref="AD5:AD28" si="7">R5+V5+W5+X5+Y5+AA5</f>
        <v>15653.499999999998</v>
      </c>
      <c r="AE5" s="176">
        <v>16538.900000000001</v>
      </c>
      <c r="AF5" s="176">
        <v>19357.900000000001</v>
      </c>
      <c r="AG5" s="176">
        <f>AH5+1409.5</f>
        <v>15234.1</v>
      </c>
      <c r="AH5" s="176">
        <f t="shared" ref="AH5:AH28" si="8">AI5+AJ5+AK5+AL5+AM5+AN5+AO5+AP5+AQ5+AR5+AS5</f>
        <v>13824.6</v>
      </c>
      <c r="AI5" s="176">
        <v>0</v>
      </c>
      <c r="AJ5" s="176">
        <v>1343.4</v>
      </c>
      <c r="AK5" s="176">
        <v>2355.6</v>
      </c>
      <c r="AL5" s="176"/>
      <c r="AM5" s="176">
        <v>1171.7</v>
      </c>
      <c r="AN5" s="176">
        <v>1537.9</v>
      </c>
      <c r="AO5" s="176">
        <v>1359</v>
      </c>
      <c r="AP5" s="176">
        <v>2954.7</v>
      </c>
      <c r="AQ5" s="176">
        <v>0</v>
      </c>
      <c r="AR5" s="176">
        <v>1615.6</v>
      </c>
      <c r="AS5" s="176">
        <v>1486.7</v>
      </c>
      <c r="AT5" s="176">
        <v>2714.3</v>
      </c>
      <c r="AU5" s="176"/>
      <c r="AV5" s="174"/>
      <c r="AW5" s="174"/>
      <c r="AX5" s="174"/>
      <c r="AY5" s="176">
        <v>-2</v>
      </c>
      <c r="AZ5" s="176">
        <v>729.2</v>
      </c>
      <c r="BA5" s="176">
        <v>1428.1</v>
      </c>
      <c r="BB5" s="176">
        <f>772.4+220.3+1412</f>
        <v>2404.6999999999998</v>
      </c>
      <c r="BC5" s="176">
        <f>1473.5+81.7</f>
        <v>1555.2</v>
      </c>
      <c r="BD5" s="176">
        <v>1541.9</v>
      </c>
      <c r="BE5" s="176">
        <f>36.5+1551.1</f>
        <v>1587.6</v>
      </c>
      <c r="BF5" s="176">
        <f>1469.5+183.4</f>
        <v>1652.9</v>
      </c>
      <c r="BG5" s="176">
        <v>1726.4</v>
      </c>
      <c r="BH5" s="176">
        <f>1601+61.8</f>
        <v>1662.8</v>
      </c>
      <c r="BI5" s="176">
        <f>110.7+130.6+1665.4</f>
        <v>1906.7</v>
      </c>
      <c r="BJ5" s="176">
        <f>808.6+99.6+733.6</f>
        <v>1641.8000000000002</v>
      </c>
      <c r="BK5" s="176">
        <f>1037+135.6+740.1+0.6</f>
        <v>1913.2999999999997</v>
      </c>
      <c r="BL5" s="236">
        <f t="shared" ref="BL5:BL13" si="9">AZ5+BA5+BB5+BC5+BD5+BE5+BF5+BG5+BH5+BI5+BJ5+BK5</f>
        <v>19750.599999999999</v>
      </c>
      <c r="BM5" s="70">
        <f t="shared" ref="BM5:BM29" si="10">BJ5-AS5</f>
        <v>155.10000000000014</v>
      </c>
      <c r="BN5" s="70">
        <f t="shared" ref="BN5:BN29" si="11">BL5-AG5</f>
        <v>4516.4999999999982</v>
      </c>
      <c r="BO5" s="70">
        <f t="shared" ref="BO5:BO13" si="12">BL5-AH5</f>
        <v>5925.9999999999982</v>
      </c>
      <c r="BP5" s="66">
        <f>BL5/AE5*100</f>
        <v>119.41906656428176</v>
      </c>
      <c r="BQ5" s="102">
        <f t="shared" si="1"/>
        <v>3211.6999999999971</v>
      </c>
      <c r="BR5" s="186">
        <f>BL5/AF5*100</f>
        <v>102.02862913849124</v>
      </c>
      <c r="BS5" s="186">
        <f t="shared" si="2"/>
        <v>392.69999999999709</v>
      </c>
      <c r="BT5" s="186">
        <f t="shared" ref="BT5:BT37" si="13">BL5/AD5*100</f>
        <v>126.17369917270898</v>
      </c>
      <c r="BU5" s="186">
        <f t="shared" ref="BU5:BU37" si="14">BL5-AD5</f>
        <v>4097.1000000000004</v>
      </c>
      <c r="BV5" s="176">
        <v>1689.7</v>
      </c>
      <c r="BW5" s="176">
        <v>1689.7</v>
      </c>
      <c r="BX5" s="176">
        <v>1689.7</v>
      </c>
      <c r="BY5" s="296">
        <f t="shared" ref="BY5:BY31" si="15">BL5+BW5+BX5</f>
        <v>23130</v>
      </c>
    </row>
    <row r="6" spans="1:77" s="14" customFormat="1" ht="22.5" outlineLevel="2" x14ac:dyDescent="0.3">
      <c r="A6" s="5" t="s">
        <v>9</v>
      </c>
      <c r="B6" s="195" t="s">
        <v>346</v>
      </c>
      <c r="C6" s="137"/>
      <c r="D6" s="36">
        <v>9211.6</v>
      </c>
      <c r="E6" s="66">
        <v>8679.4</v>
      </c>
      <c r="F6" s="98">
        <v>12477.3</v>
      </c>
      <c r="G6" s="68">
        <v>210.3</v>
      </c>
      <c r="H6" s="69">
        <v>8.6999999999999993</v>
      </c>
      <c r="I6" s="68">
        <f>3.1+60.6</f>
        <v>63.7</v>
      </c>
      <c r="J6" s="69">
        <f>49+5.4+28.5</f>
        <v>82.9</v>
      </c>
      <c r="K6" s="68">
        <f>20.5+86.2</f>
        <v>106.7</v>
      </c>
      <c r="L6" s="69">
        <f t="shared" si="3"/>
        <v>472.3</v>
      </c>
      <c r="M6" s="176" t="e">
        <f>L6+#REF!</f>
        <v>#REF!</v>
      </c>
      <c r="N6" s="219">
        <f t="shared" si="4"/>
        <v>12727.499999999998</v>
      </c>
      <c r="O6" s="85">
        <v>771.1</v>
      </c>
      <c r="P6" s="35">
        <v>159.30000000000001</v>
      </c>
      <c r="Q6" s="35">
        <v>803.1</v>
      </c>
      <c r="R6" s="87">
        <f t="shared" si="0"/>
        <v>1733.5</v>
      </c>
      <c r="S6" s="85">
        <v>1718.2</v>
      </c>
      <c r="T6" s="35">
        <v>2203.5</v>
      </c>
      <c r="U6" s="35">
        <v>821.5</v>
      </c>
      <c r="V6" s="87">
        <f t="shared" si="5"/>
        <v>4743.2</v>
      </c>
      <c r="W6" s="85">
        <v>1830.6</v>
      </c>
      <c r="X6" s="35">
        <v>486.5</v>
      </c>
      <c r="Y6" s="35">
        <v>409.6</v>
      </c>
      <c r="Z6" s="87">
        <f t="shared" si="6"/>
        <v>2726.7</v>
      </c>
      <c r="AA6" s="77">
        <v>2619.9</v>
      </c>
      <c r="AB6" s="35">
        <v>431.9</v>
      </c>
      <c r="AC6" s="35">
        <v>472.3</v>
      </c>
      <c r="AD6" s="176">
        <f t="shared" si="7"/>
        <v>11823.3</v>
      </c>
      <c r="AE6" s="176">
        <v>13759.2</v>
      </c>
      <c r="AF6" s="176">
        <v>14732.9</v>
      </c>
      <c r="AG6" s="176">
        <f>AH6+973.7</f>
        <v>13003.7</v>
      </c>
      <c r="AH6" s="176">
        <f t="shared" si="8"/>
        <v>12030</v>
      </c>
      <c r="AI6" s="176">
        <v>0</v>
      </c>
      <c r="AJ6" s="176">
        <v>300</v>
      </c>
      <c r="AK6" s="176">
        <v>440</v>
      </c>
      <c r="AL6" s="176">
        <v>80</v>
      </c>
      <c r="AM6" s="176">
        <v>2700</v>
      </c>
      <c r="AN6" s="176">
        <v>1950</v>
      </c>
      <c r="AO6" s="176">
        <v>450</v>
      </c>
      <c r="AP6" s="176">
        <v>3050</v>
      </c>
      <c r="AQ6" s="176">
        <v>510</v>
      </c>
      <c r="AR6" s="176">
        <v>650</v>
      </c>
      <c r="AS6" s="176">
        <v>1900</v>
      </c>
      <c r="AT6" s="176">
        <v>1729.2</v>
      </c>
      <c r="AU6" s="176"/>
      <c r="AV6" s="174"/>
      <c r="AW6" s="174"/>
      <c r="AX6" s="174"/>
      <c r="AY6" s="176">
        <v>-523.79999999999995</v>
      </c>
      <c r="AZ6" s="176">
        <v>965.5</v>
      </c>
      <c r="BA6" s="176">
        <v>-464</v>
      </c>
      <c r="BB6" s="176">
        <f>1007.8+299.2+79.4</f>
        <v>1386.4</v>
      </c>
      <c r="BC6" s="176">
        <f>28.7+53.2+1339.5+2075.7+1438.2+1230.3-12.6</f>
        <v>6153</v>
      </c>
      <c r="BD6" s="176">
        <v>930</v>
      </c>
      <c r="BE6" s="176">
        <f>191.4+62.2</f>
        <v>253.60000000000002</v>
      </c>
      <c r="BF6" s="176">
        <f>54.2-41.4+1757.8+622.1</f>
        <v>2392.6999999999998</v>
      </c>
      <c r="BG6" s="176">
        <v>134.69999999999999</v>
      </c>
      <c r="BH6" s="176">
        <f>264.4-22.7</f>
        <v>241.7</v>
      </c>
      <c r="BI6" s="176">
        <f>9.2+73.5+2594.8-6.6+250.6</f>
        <v>2921.5</v>
      </c>
      <c r="BJ6" s="176">
        <f>69.9-401</f>
        <v>-331.1</v>
      </c>
      <c r="BK6" s="176">
        <f>0.3+97.6+1.1</f>
        <v>98.999999999999986</v>
      </c>
      <c r="BL6" s="236">
        <f t="shared" si="9"/>
        <v>14683.000000000002</v>
      </c>
      <c r="BM6" s="70">
        <f t="shared" si="10"/>
        <v>-2231.1</v>
      </c>
      <c r="BN6" s="70">
        <f t="shared" si="11"/>
        <v>1679.3000000000011</v>
      </c>
      <c r="BO6" s="70">
        <f t="shared" si="12"/>
        <v>2653.0000000000018</v>
      </c>
      <c r="BP6" s="66">
        <f>BL6/AE6*100</f>
        <v>106.71405314262459</v>
      </c>
      <c r="BQ6" s="102">
        <f t="shared" si="1"/>
        <v>923.80000000000109</v>
      </c>
      <c r="BR6" s="186">
        <f>BL6/AF6*100</f>
        <v>99.661302255496224</v>
      </c>
      <c r="BS6" s="186">
        <f t="shared" si="2"/>
        <v>-49.899999999997817</v>
      </c>
      <c r="BT6" s="186">
        <f t="shared" si="13"/>
        <v>124.18698671267754</v>
      </c>
      <c r="BU6" s="186">
        <f t="shared" si="14"/>
        <v>2859.7000000000025</v>
      </c>
      <c r="BV6" s="176"/>
      <c r="BW6" s="176">
        <v>2739.3</v>
      </c>
      <c r="BX6" s="176"/>
      <c r="BY6" s="296">
        <f t="shared" si="15"/>
        <v>17422.300000000003</v>
      </c>
    </row>
    <row r="7" spans="1:77" s="14" customFormat="1" ht="31.5" outlineLevel="2" x14ac:dyDescent="0.3">
      <c r="A7" s="5" t="s">
        <v>10</v>
      </c>
      <c r="B7" s="194" t="s">
        <v>103</v>
      </c>
      <c r="C7" s="137"/>
      <c r="D7" s="36">
        <v>2148.4</v>
      </c>
      <c r="E7" s="66">
        <v>0</v>
      </c>
      <c r="F7" s="98">
        <v>64.599999999999994</v>
      </c>
      <c r="G7" s="68">
        <v>0.1</v>
      </c>
      <c r="H7" s="69">
        <v>1</v>
      </c>
      <c r="I7" s="68">
        <v>0.4</v>
      </c>
      <c r="J7" s="69"/>
      <c r="K7" s="68"/>
      <c r="L7" s="69">
        <f t="shared" si="3"/>
        <v>1.5</v>
      </c>
      <c r="M7" s="176" t="e">
        <f>L7+#REF!</f>
        <v>#REF!</v>
      </c>
      <c r="N7" s="219">
        <f t="shared" si="4"/>
        <v>65</v>
      </c>
      <c r="O7" s="85">
        <v>1.9</v>
      </c>
      <c r="P7" s="35">
        <v>3.7</v>
      </c>
      <c r="Q7" s="35">
        <v>93.2</v>
      </c>
      <c r="R7" s="87">
        <f t="shared" si="0"/>
        <v>98.8</v>
      </c>
      <c r="S7" s="85">
        <v>20.7</v>
      </c>
      <c r="T7" s="35">
        <v>3</v>
      </c>
      <c r="U7" s="35">
        <v>3</v>
      </c>
      <c r="V7" s="87">
        <f t="shared" si="5"/>
        <v>26.7</v>
      </c>
      <c r="W7" s="85">
        <v>0.3</v>
      </c>
      <c r="X7" s="35">
        <v>5.6</v>
      </c>
      <c r="Y7" s="35">
        <v>-11</v>
      </c>
      <c r="Z7" s="87">
        <f t="shared" si="6"/>
        <v>-5.1000000000000005</v>
      </c>
      <c r="AA7" s="77">
        <v>1.2</v>
      </c>
      <c r="AB7" s="35">
        <v>-58.1</v>
      </c>
      <c r="AC7" s="35">
        <v>1.5</v>
      </c>
      <c r="AD7" s="176">
        <f t="shared" si="7"/>
        <v>121.60000000000001</v>
      </c>
      <c r="AE7" s="176">
        <v>0</v>
      </c>
      <c r="AF7" s="176">
        <v>-150.80000000000001</v>
      </c>
      <c r="AG7" s="176">
        <v>-150.80000000000001</v>
      </c>
      <c r="AH7" s="176">
        <f t="shared" si="8"/>
        <v>0</v>
      </c>
      <c r="AI7" s="176">
        <v>0</v>
      </c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4"/>
      <c r="AW7" s="174"/>
      <c r="AX7" s="174"/>
      <c r="AY7" s="176"/>
      <c r="AZ7" s="176">
        <v>-225.4</v>
      </c>
      <c r="BA7" s="176">
        <v>0</v>
      </c>
      <c r="BB7" s="176">
        <f>1.3+8.6</f>
        <v>9.9</v>
      </c>
      <c r="BC7" s="176">
        <f>15.8+13.9</f>
        <v>29.700000000000003</v>
      </c>
      <c r="BD7" s="176"/>
      <c r="BE7" s="176">
        <v>18.8</v>
      </c>
      <c r="BF7" s="176">
        <v>14.9</v>
      </c>
      <c r="BG7" s="176">
        <v>1.3</v>
      </c>
      <c r="BH7" s="176"/>
      <c r="BI7" s="176">
        <v>2.5</v>
      </c>
      <c r="BJ7" s="176"/>
      <c r="BK7" s="176">
        <f>2.3+4</f>
        <v>6.3</v>
      </c>
      <c r="BL7" s="236">
        <f t="shared" si="9"/>
        <v>-141.99999999999997</v>
      </c>
      <c r="BM7" s="70">
        <f t="shared" si="10"/>
        <v>0</v>
      </c>
      <c r="BN7" s="70">
        <f t="shared" si="11"/>
        <v>8.8000000000000398</v>
      </c>
      <c r="BO7" s="70">
        <f t="shared" si="12"/>
        <v>-141.99999999999997</v>
      </c>
      <c r="BP7" s="66"/>
      <c r="BQ7" s="102">
        <f t="shared" si="1"/>
        <v>-141.99999999999997</v>
      </c>
      <c r="BR7" s="186"/>
      <c r="BS7" s="186">
        <f t="shared" si="2"/>
        <v>8.8000000000000398</v>
      </c>
      <c r="BT7" s="186">
        <f t="shared" si="13"/>
        <v>-116.77631578947366</v>
      </c>
      <c r="BU7" s="186">
        <f t="shared" si="14"/>
        <v>-263.59999999999997</v>
      </c>
      <c r="BV7" s="176"/>
      <c r="BW7" s="176"/>
      <c r="BX7" s="176"/>
      <c r="BY7" s="296">
        <f t="shared" si="15"/>
        <v>-141.99999999999997</v>
      </c>
    </row>
    <row r="8" spans="1:77" s="14" customFormat="1" ht="31.5" outlineLevel="2" x14ac:dyDescent="0.3">
      <c r="A8" s="5" t="s">
        <v>11</v>
      </c>
      <c r="B8" s="194" t="s">
        <v>12</v>
      </c>
      <c r="C8" s="137"/>
      <c r="D8" s="36">
        <v>258.39999999999998</v>
      </c>
      <c r="E8" s="66">
        <v>141.19999999999999</v>
      </c>
      <c r="F8" s="98">
        <v>139.6</v>
      </c>
      <c r="G8" s="68"/>
      <c r="H8" s="69"/>
      <c r="I8" s="68"/>
      <c r="J8" s="69"/>
      <c r="K8" s="68"/>
      <c r="L8" s="69">
        <f t="shared" si="3"/>
        <v>0</v>
      </c>
      <c r="M8" s="176" t="e">
        <f>L8+#REF!</f>
        <v>#REF!</v>
      </c>
      <c r="N8" s="219">
        <f t="shared" si="4"/>
        <v>139.6</v>
      </c>
      <c r="O8" s="85"/>
      <c r="P8" s="35">
        <v>65</v>
      </c>
      <c r="Q8" s="35">
        <v>10.5</v>
      </c>
      <c r="R8" s="87">
        <f t="shared" si="0"/>
        <v>75.5</v>
      </c>
      <c r="S8" s="85"/>
      <c r="T8" s="35">
        <v>25.5</v>
      </c>
      <c r="U8" s="35">
        <v>7.4</v>
      </c>
      <c r="V8" s="87">
        <f t="shared" si="5"/>
        <v>32.9</v>
      </c>
      <c r="W8" s="85">
        <v>30.5</v>
      </c>
      <c r="X8" s="35"/>
      <c r="Y8" s="35">
        <v>0.5</v>
      </c>
      <c r="Z8" s="87">
        <f t="shared" si="6"/>
        <v>31</v>
      </c>
      <c r="AA8" s="77">
        <v>0.2</v>
      </c>
      <c r="AB8" s="35"/>
      <c r="AC8" s="35">
        <v>0</v>
      </c>
      <c r="AD8" s="176">
        <f t="shared" si="7"/>
        <v>139.6</v>
      </c>
      <c r="AE8" s="176">
        <v>121</v>
      </c>
      <c r="AF8" s="176">
        <v>604.70000000000005</v>
      </c>
      <c r="AG8" s="176">
        <v>599.6</v>
      </c>
      <c r="AH8" s="176">
        <f t="shared" si="8"/>
        <v>105</v>
      </c>
      <c r="AI8" s="176">
        <v>0</v>
      </c>
      <c r="AJ8" s="176"/>
      <c r="AK8" s="176"/>
      <c r="AL8" s="176">
        <v>75</v>
      </c>
      <c r="AM8" s="176"/>
      <c r="AN8" s="176"/>
      <c r="AO8" s="176"/>
      <c r="AP8" s="176">
        <v>30</v>
      </c>
      <c r="AQ8" s="176"/>
      <c r="AR8" s="176"/>
      <c r="AS8" s="176"/>
      <c r="AT8" s="176">
        <v>16</v>
      </c>
      <c r="AU8" s="176"/>
      <c r="AV8" s="174"/>
      <c r="AW8" s="174"/>
      <c r="AX8" s="174"/>
      <c r="AY8" s="176"/>
      <c r="AZ8" s="176">
        <v>1</v>
      </c>
      <c r="BA8" s="176"/>
      <c r="BB8" s="176">
        <f>646.3+40.9</f>
        <v>687.19999999999993</v>
      </c>
      <c r="BC8" s="176">
        <f>-119.9+31</f>
        <v>-88.9</v>
      </c>
      <c r="BD8" s="176">
        <v>4.9000000000000004</v>
      </c>
      <c r="BE8" s="176"/>
      <c r="BF8" s="176">
        <v>0.5</v>
      </c>
      <c r="BG8" s="176"/>
      <c r="BH8" s="176"/>
      <c r="BI8" s="176">
        <v>-5.0999999999999996</v>
      </c>
      <c r="BJ8" s="176">
        <f>-19.4-12.8</f>
        <v>-32.200000000000003</v>
      </c>
      <c r="BK8" s="176"/>
      <c r="BL8" s="236">
        <f t="shared" si="9"/>
        <v>567.39999999999986</v>
      </c>
      <c r="BM8" s="70">
        <f t="shared" si="10"/>
        <v>-32.200000000000003</v>
      </c>
      <c r="BN8" s="70">
        <f t="shared" si="11"/>
        <v>-32.200000000000159</v>
      </c>
      <c r="BO8" s="70">
        <f t="shared" si="12"/>
        <v>462.39999999999986</v>
      </c>
      <c r="BP8" s="66">
        <f t="shared" ref="BP8:BP15" si="16">BL8/AE8*100</f>
        <v>468.92561983471063</v>
      </c>
      <c r="BQ8" s="102">
        <f t="shared" si="1"/>
        <v>446.39999999999986</v>
      </c>
      <c r="BR8" s="186">
        <f t="shared" ref="BR8:BR25" si="17">BL8/AF8*100</f>
        <v>93.831652058872137</v>
      </c>
      <c r="BS8" s="186">
        <f t="shared" si="2"/>
        <v>-37.300000000000182</v>
      </c>
      <c r="BT8" s="186">
        <f t="shared" si="13"/>
        <v>406.44699140401138</v>
      </c>
      <c r="BU8" s="186">
        <f t="shared" si="14"/>
        <v>427.79999999999984</v>
      </c>
      <c r="BV8" s="176"/>
      <c r="BW8" s="176"/>
      <c r="BX8" s="176"/>
      <c r="BY8" s="296">
        <f t="shared" si="15"/>
        <v>567.39999999999986</v>
      </c>
    </row>
    <row r="9" spans="1:77" s="14" customFormat="1" ht="32.25" customHeight="1" outlineLevel="2" x14ac:dyDescent="0.3">
      <c r="A9" s="5" t="s">
        <v>13</v>
      </c>
      <c r="B9" s="194" t="s">
        <v>224</v>
      </c>
      <c r="C9" s="137"/>
      <c r="D9" s="36">
        <v>2749.1</v>
      </c>
      <c r="E9" s="66">
        <v>3198.7</v>
      </c>
      <c r="F9" s="98">
        <v>2088.1</v>
      </c>
      <c r="G9" s="68">
        <v>227.6</v>
      </c>
      <c r="H9" s="69">
        <v>155.30000000000001</v>
      </c>
      <c r="I9" s="68">
        <f>24+51.3</f>
        <v>75.3</v>
      </c>
      <c r="J9" s="69">
        <f>108.1+18.7+11.5+37.7</f>
        <v>176</v>
      </c>
      <c r="K9" s="68">
        <f>24.7+58.6</f>
        <v>83.3</v>
      </c>
      <c r="L9" s="69">
        <f t="shared" si="3"/>
        <v>717.5</v>
      </c>
      <c r="M9" s="176" t="e">
        <f>L9+#REF!</f>
        <v>#REF!</v>
      </c>
      <c r="N9" s="219">
        <f>O9+P9+Q9+S9+T9+U9+W9+X9+Y9+AA9+AB9+AC9</f>
        <v>2371.4</v>
      </c>
      <c r="O9" s="85">
        <v>120.2</v>
      </c>
      <c r="P9" s="35">
        <v>137.6</v>
      </c>
      <c r="Q9" s="35">
        <v>564.70000000000005</v>
      </c>
      <c r="R9" s="87">
        <f t="shared" si="0"/>
        <v>822.5</v>
      </c>
      <c r="S9" s="85">
        <v>23.5</v>
      </c>
      <c r="T9" s="35">
        <v>33.1</v>
      </c>
      <c r="U9" s="35">
        <v>306</v>
      </c>
      <c r="V9" s="87">
        <f t="shared" si="5"/>
        <v>362.6</v>
      </c>
      <c r="W9" s="85">
        <v>78.8</v>
      </c>
      <c r="X9" s="35">
        <v>18.899999999999999</v>
      </c>
      <c r="Y9" s="35">
        <v>168.2</v>
      </c>
      <c r="Z9" s="87">
        <f t="shared" si="6"/>
        <v>265.89999999999998</v>
      </c>
      <c r="AA9" s="77">
        <v>133.19999999999999</v>
      </c>
      <c r="AB9" s="35">
        <v>69.7</v>
      </c>
      <c r="AC9" s="35">
        <v>717.5</v>
      </c>
      <c r="AD9" s="176">
        <f t="shared" si="7"/>
        <v>1584.2</v>
      </c>
      <c r="AE9" s="176">
        <v>2531</v>
      </c>
      <c r="AF9" s="176">
        <v>1349.5</v>
      </c>
      <c r="AG9" s="176">
        <f>AF9</f>
        <v>1349.5</v>
      </c>
      <c r="AH9" s="176">
        <f t="shared" si="8"/>
        <v>1950</v>
      </c>
      <c r="AI9" s="176">
        <v>0</v>
      </c>
      <c r="AJ9" s="176">
        <v>150</v>
      </c>
      <c r="AK9" s="176">
        <v>100</v>
      </c>
      <c r="AL9" s="176">
        <v>350</v>
      </c>
      <c r="AM9" s="176">
        <v>100</v>
      </c>
      <c r="AN9" s="176">
        <v>100</v>
      </c>
      <c r="AO9" s="176">
        <v>350</v>
      </c>
      <c r="AP9" s="176">
        <v>150</v>
      </c>
      <c r="AQ9" s="176">
        <v>50</v>
      </c>
      <c r="AR9" s="176">
        <v>100</v>
      </c>
      <c r="AS9" s="176">
        <v>500</v>
      </c>
      <c r="AT9" s="176">
        <v>581</v>
      </c>
      <c r="AU9" s="176"/>
      <c r="AV9" s="174"/>
      <c r="AW9" s="174"/>
      <c r="AX9" s="174"/>
      <c r="AY9" s="176">
        <v>-154.80000000000001</v>
      </c>
      <c r="AZ9" s="176">
        <v>-13.6</v>
      </c>
      <c r="BA9" s="176">
        <v>-147.9</v>
      </c>
      <c r="BB9" s="176">
        <f>18.8+46.9-0.1</f>
        <v>65.600000000000009</v>
      </c>
      <c r="BC9" s="176">
        <f>1095.1-0.1-36.1</f>
        <v>1058.9000000000001</v>
      </c>
      <c r="BD9" s="176">
        <v>3.2</v>
      </c>
      <c r="BE9" s="176">
        <f>2.7+44.1</f>
        <v>46.800000000000004</v>
      </c>
      <c r="BF9" s="176">
        <f>4.9+100.4+13.1</f>
        <v>118.4</v>
      </c>
      <c r="BG9" s="176">
        <v>42.3</v>
      </c>
      <c r="BH9" s="176">
        <v>10</v>
      </c>
      <c r="BI9" s="176">
        <f>-92.3+20.1+9.4</f>
        <v>-62.79999999999999</v>
      </c>
      <c r="BJ9" s="176">
        <f>4-59.6+7.9</f>
        <v>-47.7</v>
      </c>
      <c r="BK9" s="176">
        <f>-500-123-8.6-1.4-1.5</f>
        <v>-634.5</v>
      </c>
      <c r="BL9" s="236">
        <f t="shared" si="9"/>
        <v>438.70000000000005</v>
      </c>
      <c r="BM9" s="70">
        <f t="shared" si="10"/>
        <v>-547.70000000000005</v>
      </c>
      <c r="BN9" s="70">
        <f t="shared" si="11"/>
        <v>-910.8</v>
      </c>
      <c r="BO9" s="70">
        <f t="shared" si="12"/>
        <v>-1511.3</v>
      </c>
      <c r="BP9" s="66">
        <f t="shared" si="16"/>
        <v>17.333069932832874</v>
      </c>
      <c r="BQ9" s="102">
        <f t="shared" si="1"/>
        <v>-2092.3000000000002</v>
      </c>
      <c r="BR9" s="186">
        <f t="shared" si="17"/>
        <v>32.508336420896633</v>
      </c>
      <c r="BS9" s="186">
        <f t="shared" si="2"/>
        <v>-910.8</v>
      </c>
      <c r="BT9" s="186">
        <f t="shared" si="13"/>
        <v>27.692210579472292</v>
      </c>
      <c r="BU9" s="186">
        <f t="shared" si="14"/>
        <v>-1145.5</v>
      </c>
      <c r="BV9" s="176">
        <v>40</v>
      </c>
      <c r="BW9" s="176">
        <v>40</v>
      </c>
      <c r="BX9" s="176">
        <f>100-14.2</f>
        <v>85.8</v>
      </c>
      <c r="BY9" s="296">
        <f t="shared" si="15"/>
        <v>564.5</v>
      </c>
    </row>
    <row r="10" spans="1:77" s="14" customFormat="1" ht="31.5" outlineLevel="2" x14ac:dyDescent="0.3">
      <c r="A10" s="5" t="s">
        <v>14</v>
      </c>
      <c r="B10" s="194" t="s">
        <v>15</v>
      </c>
      <c r="C10" s="137"/>
      <c r="D10" s="36">
        <v>6346.4</v>
      </c>
      <c r="E10" s="66">
        <v>5500</v>
      </c>
      <c r="F10" s="98">
        <v>8183.9</v>
      </c>
      <c r="G10" s="68">
        <v>669.2</v>
      </c>
      <c r="H10" s="69">
        <v>168.6</v>
      </c>
      <c r="I10" s="68">
        <f>14.3+23.9+3.9</f>
        <v>42.1</v>
      </c>
      <c r="J10" s="69">
        <f>147.8+5.7+89.1+2.8</f>
        <v>245.4</v>
      </c>
      <c r="K10" s="68">
        <f>22.2+9.3+2.1</f>
        <v>33.6</v>
      </c>
      <c r="L10" s="69">
        <v>1159</v>
      </c>
      <c r="M10" s="176" t="e">
        <f>L10+#REF!</f>
        <v>#REF!</v>
      </c>
      <c r="N10" s="219">
        <f t="shared" si="4"/>
        <v>8501.2999999999993</v>
      </c>
      <c r="O10" s="85">
        <v>65.8</v>
      </c>
      <c r="P10" s="35">
        <v>63.4</v>
      </c>
      <c r="Q10" s="35">
        <v>184.1</v>
      </c>
      <c r="R10" s="87">
        <f t="shared" si="0"/>
        <v>313.29999999999995</v>
      </c>
      <c r="S10" s="85">
        <v>98.4</v>
      </c>
      <c r="T10" s="35">
        <v>112.4</v>
      </c>
      <c r="U10" s="35">
        <v>45.5</v>
      </c>
      <c r="V10" s="87">
        <f t="shared" si="5"/>
        <v>256.3</v>
      </c>
      <c r="W10" s="85">
        <v>167.1</v>
      </c>
      <c r="X10" s="35">
        <v>110.5</v>
      </c>
      <c r="Y10" s="35">
        <v>497.8</v>
      </c>
      <c r="Z10" s="87">
        <f t="shared" si="6"/>
        <v>775.40000000000009</v>
      </c>
      <c r="AA10" s="77">
        <v>2071.5</v>
      </c>
      <c r="AB10" s="35">
        <v>3925.8</v>
      </c>
      <c r="AC10" s="35">
        <v>1159</v>
      </c>
      <c r="AD10" s="176">
        <f t="shared" si="7"/>
        <v>3416.5</v>
      </c>
      <c r="AE10" s="176">
        <v>9042.5</v>
      </c>
      <c r="AF10" s="176">
        <v>8040</v>
      </c>
      <c r="AG10" s="176">
        <f t="shared" ref="AG10:AG28" si="18">AH10</f>
        <v>1800</v>
      </c>
      <c r="AH10" s="176">
        <f t="shared" si="8"/>
        <v>1800</v>
      </c>
      <c r="AI10" s="176">
        <v>50</v>
      </c>
      <c r="AJ10" s="176">
        <v>50</v>
      </c>
      <c r="AK10" s="176">
        <v>100</v>
      </c>
      <c r="AL10" s="176">
        <v>50</v>
      </c>
      <c r="AM10" s="176">
        <v>50</v>
      </c>
      <c r="AN10" s="176">
        <v>100</v>
      </c>
      <c r="AO10" s="176">
        <v>100</v>
      </c>
      <c r="AP10" s="176">
        <v>100</v>
      </c>
      <c r="AQ10" s="176">
        <v>200</v>
      </c>
      <c r="AR10" s="176">
        <v>500</v>
      </c>
      <c r="AS10" s="176">
        <v>500</v>
      </c>
      <c r="AT10" s="176">
        <v>7242.5</v>
      </c>
      <c r="AU10" s="176"/>
      <c r="AV10" s="174"/>
      <c r="AW10" s="174"/>
      <c r="AX10" s="174"/>
      <c r="AY10" s="176">
        <v>-77.2</v>
      </c>
      <c r="AZ10" s="176">
        <v>398</v>
      </c>
      <c r="BA10" s="176">
        <v>-60.9</v>
      </c>
      <c r="BB10" s="176">
        <f>35.3+130.2+3.3</f>
        <v>168.8</v>
      </c>
      <c r="BC10" s="176">
        <f>29.6-38+0.4</f>
        <v>-7.9999999999999982</v>
      </c>
      <c r="BD10" s="176">
        <v>45.5</v>
      </c>
      <c r="BE10" s="176">
        <f>0.3+9.9</f>
        <v>10.200000000000001</v>
      </c>
      <c r="BF10" s="176">
        <f>1.4+157.9+3.2+0.8</f>
        <v>163.30000000000001</v>
      </c>
      <c r="BG10" s="176">
        <v>71.900000000000006</v>
      </c>
      <c r="BH10" s="176">
        <f>19.5+116.2</f>
        <v>135.69999999999999</v>
      </c>
      <c r="BI10" s="176">
        <f>646.2+2421.4+147.8+102.5</f>
        <v>3317.9000000000005</v>
      </c>
      <c r="BJ10" s="176">
        <f>65.7+2213.6+154.7</f>
        <v>2433.9999999999995</v>
      </c>
      <c r="BK10" s="176">
        <f>116.8+1071.1-15.2+4.1+5.5+25.1+5.2+7.2</f>
        <v>1219.7999999999997</v>
      </c>
      <c r="BL10" s="236">
        <f t="shared" si="9"/>
        <v>7896.1999999999989</v>
      </c>
      <c r="BM10" s="70">
        <f t="shared" si="10"/>
        <v>1933.9999999999995</v>
      </c>
      <c r="BN10" s="70">
        <f t="shared" si="11"/>
        <v>6096.1999999999989</v>
      </c>
      <c r="BO10" s="70">
        <f t="shared" si="12"/>
        <v>6096.1999999999989</v>
      </c>
      <c r="BP10" s="66">
        <f t="shared" si="16"/>
        <v>87.323196018800104</v>
      </c>
      <c r="BQ10" s="102">
        <f t="shared" si="1"/>
        <v>-1146.3000000000011</v>
      </c>
      <c r="BR10" s="186">
        <f t="shared" si="17"/>
        <v>98.21144278606964</v>
      </c>
      <c r="BS10" s="186">
        <f t="shared" si="2"/>
        <v>-143.80000000000109</v>
      </c>
      <c r="BT10" s="186">
        <f t="shared" si="13"/>
        <v>231.11956680813694</v>
      </c>
      <c r="BU10" s="186">
        <f t="shared" si="14"/>
        <v>4479.6999999999989</v>
      </c>
      <c r="BV10" s="176">
        <v>160</v>
      </c>
      <c r="BW10" s="176">
        <v>2300</v>
      </c>
      <c r="BX10" s="176">
        <f>7067.2-10-160-300-3000-500</f>
        <v>3097.2</v>
      </c>
      <c r="BY10" s="296">
        <f t="shared" si="15"/>
        <v>13293.399999999998</v>
      </c>
    </row>
    <row r="11" spans="1:77" s="14" customFormat="1" ht="22.5" outlineLevel="3" x14ac:dyDescent="0.3">
      <c r="A11" s="5" t="s">
        <v>16</v>
      </c>
      <c r="B11" s="194" t="s">
        <v>17</v>
      </c>
      <c r="C11" s="137"/>
      <c r="D11" s="36">
        <v>16585.7</v>
      </c>
      <c r="E11" s="66">
        <v>11000</v>
      </c>
      <c r="F11" s="98">
        <v>15650</v>
      </c>
      <c r="G11" s="66">
        <v>-28.5</v>
      </c>
      <c r="H11" s="67">
        <v>66</v>
      </c>
      <c r="I11" s="66">
        <v>0.8</v>
      </c>
      <c r="J11" s="119"/>
      <c r="K11" s="66"/>
      <c r="L11" s="67">
        <f t="shared" si="3"/>
        <v>38.299999999999997</v>
      </c>
      <c r="M11" s="176" t="e">
        <f>L11+#REF!</f>
        <v>#REF!</v>
      </c>
      <c r="N11" s="219">
        <f>O11+P11+Q11+S11+T11+U11+W11+X11+Y11+AA11+AB11+AC11</f>
        <v>15650.2</v>
      </c>
      <c r="O11" s="85">
        <v>78.8</v>
      </c>
      <c r="P11" s="35">
        <v>3826.4</v>
      </c>
      <c r="Q11" s="35">
        <v>620.5</v>
      </c>
      <c r="R11" s="87">
        <f t="shared" si="0"/>
        <v>4525.7000000000007</v>
      </c>
      <c r="S11" s="85">
        <v>3585</v>
      </c>
      <c r="T11" s="35">
        <v>628.1</v>
      </c>
      <c r="U11" s="35">
        <v>115.8</v>
      </c>
      <c r="V11" s="87">
        <f t="shared" si="5"/>
        <v>4328.9000000000005</v>
      </c>
      <c r="W11" s="85">
        <v>3782.3</v>
      </c>
      <c r="X11" s="35">
        <v>264.10000000000002</v>
      </c>
      <c r="Y11" s="35">
        <v>29.8</v>
      </c>
      <c r="Z11" s="87">
        <f t="shared" si="6"/>
        <v>4076.2000000000003</v>
      </c>
      <c r="AA11" s="77">
        <v>2568.8000000000002</v>
      </c>
      <c r="AB11" s="35">
        <v>112.3</v>
      </c>
      <c r="AC11" s="35">
        <v>38.299999999999997</v>
      </c>
      <c r="AD11" s="176">
        <f t="shared" si="7"/>
        <v>15499.600000000002</v>
      </c>
      <c r="AE11" s="176">
        <v>12066.7</v>
      </c>
      <c r="AF11" s="176">
        <v>-14248</v>
      </c>
      <c r="AG11" s="176">
        <v>-14248</v>
      </c>
      <c r="AH11" s="176">
        <f>AI11+AJ11+AK11+AL11+AM11+AN11+AO11+AP11+AQ11+AR11+AS11</f>
        <v>9716.7000000000007</v>
      </c>
      <c r="AI11" s="176">
        <v>0</v>
      </c>
      <c r="AJ11" s="176">
        <v>500</v>
      </c>
      <c r="AK11" s="176">
        <v>2500</v>
      </c>
      <c r="AL11" s="176">
        <v>500</v>
      </c>
      <c r="AM11" s="176">
        <v>500</v>
      </c>
      <c r="AN11" s="176">
        <v>1500</v>
      </c>
      <c r="AO11" s="176">
        <v>500</v>
      </c>
      <c r="AP11" s="176">
        <v>1250</v>
      </c>
      <c r="AQ11" s="176">
        <v>1000</v>
      </c>
      <c r="AR11" s="176">
        <v>900</v>
      </c>
      <c r="AS11" s="176">
        <v>566.70000000000005</v>
      </c>
      <c r="AT11" s="176">
        <v>2350</v>
      </c>
      <c r="AU11" s="176"/>
      <c r="AV11" s="174"/>
      <c r="AW11" s="174"/>
      <c r="AX11" s="174"/>
      <c r="AY11" s="176">
        <v>-0.1</v>
      </c>
      <c r="AZ11" s="176">
        <v>12.4</v>
      </c>
      <c r="BA11" s="176">
        <v>-0.1</v>
      </c>
      <c r="BB11" s="176">
        <f>18.7+3921.2</f>
        <v>3939.8999999999996</v>
      </c>
      <c r="BC11" s="176">
        <f>2381.3+120.1+216.7</f>
        <v>2718.1</v>
      </c>
      <c r="BD11" s="176">
        <v>96.4</v>
      </c>
      <c r="BE11" s="176">
        <f>186.1-17.7</f>
        <v>168.4</v>
      </c>
      <c r="BF11" s="176">
        <f>4.4+92.9+548.9+174.9</f>
        <v>821.1</v>
      </c>
      <c r="BG11" s="176">
        <v>194.4</v>
      </c>
      <c r="BH11" s="176">
        <f>42.1-1893.7</f>
        <v>-1851.6000000000001</v>
      </c>
      <c r="BI11" s="176">
        <f>-411.8-9599-5909.7-878.5</f>
        <v>-16799</v>
      </c>
      <c r="BJ11" s="176">
        <f>-5206.1-228.1+18.6</f>
        <v>-5415.6</v>
      </c>
      <c r="BK11" s="176">
        <f>4+629.6</f>
        <v>633.6</v>
      </c>
      <c r="BL11" s="236">
        <f t="shared" si="9"/>
        <v>-15482.000000000002</v>
      </c>
      <c r="BM11" s="70">
        <f t="shared" si="10"/>
        <v>-5982.3</v>
      </c>
      <c r="BN11" s="70">
        <f t="shared" si="11"/>
        <v>-1234.0000000000018</v>
      </c>
      <c r="BO11" s="70">
        <f t="shared" si="12"/>
        <v>-25198.700000000004</v>
      </c>
      <c r="BP11" s="66">
        <f t="shared" si="16"/>
        <v>-128.30351297372107</v>
      </c>
      <c r="BQ11" s="102">
        <f t="shared" si="1"/>
        <v>-27548.700000000004</v>
      </c>
      <c r="BR11" s="186">
        <f t="shared" si="17"/>
        <v>108.66086468276251</v>
      </c>
      <c r="BS11" s="186">
        <f t="shared" si="2"/>
        <v>-1234.0000000000018</v>
      </c>
      <c r="BT11" s="186">
        <f t="shared" si="13"/>
        <v>-99.886448682546643</v>
      </c>
      <c r="BU11" s="186">
        <f t="shared" si="14"/>
        <v>-30981.600000000006</v>
      </c>
      <c r="BV11" s="176">
        <v>-20427.400000000001</v>
      </c>
      <c r="BW11" s="176">
        <v>-2700</v>
      </c>
      <c r="BX11" s="176">
        <v>500</v>
      </c>
      <c r="BY11" s="296">
        <v>-17490.5</v>
      </c>
    </row>
    <row r="12" spans="1:77" s="14" customFormat="1" ht="31.5" outlineLevel="3" x14ac:dyDescent="0.3">
      <c r="A12" s="5" t="s">
        <v>18</v>
      </c>
      <c r="B12" s="194" t="s">
        <v>19</v>
      </c>
      <c r="C12" s="137"/>
      <c r="D12" s="36">
        <v>11455</v>
      </c>
      <c r="E12" s="66">
        <v>10771.1</v>
      </c>
      <c r="F12" s="98">
        <v>11420</v>
      </c>
      <c r="G12" s="66">
        <v>1331.6</v>
      </c>
      <c r="H12" s="67">
        <v>210.7</v>
      </c>
      <c r="I12" s="66">
        <f>28.1+27.4+33.9</f>
        <v>89.4</v>
      </c>
      <c r="J12" s="67">
        <f>81.9+22.4+14.5+21.5</f>
        <v>140.30000000000001</v>
      </c>
      <c r="K12" s="66">
        <f>18+36+15.1</f>
        <v>69.099999999999994</v>
      </c>
      <c r="L12" s="67">
        <f t="shared" si="3"/>
        <v>1841.1</v>
      </c>
      <c r="M12" s="176" t="e">
        <f>L12+#REF!</f>
        <v>#REF!</v>
      </c>
      <c r="N12" s="219">
        <f>O12+P12+Q12+S12+T12+U12+W12+X12+Y12+AA12+AB12+AC12</f>
        <v>11687.7</v>
      </c>
      <c r="O12" s="85">
        <v>420</v>
      </c>
      <c r="P12" s="35">
        <v>153.30000000000001</v>
      </c>
      <c r="Q12" s="35">
        <v>205.8</v>
      </c>
      <c r="R12" s="87">
        <f t="shared" si="0"/>
        <v>779.09999999999991</v>
      </c>
      <c r="S12" s="85">
        <v>116.8</v>
      </c>
      <c r="T12" s="35">
        <v>206.5</v>
      </c>
      <c r="U12" s="35">
        <v>74</v>
      </c>
      <c r="V12" s="87">
        <f t="shared" si="5"/>
        <v>397.3</v>
      </c>
      <c r="W12" s="85">
        <v>109.2</v>
      </c>
      <c r="X12" s="35">
        <v>249.1</v>
      </c>
      <c r="Y12" s="35">
        <v>1225.8</v>
      </c>
      <c r="Z12" s="87">
        <f t="shared" si="6"/>
        <v>1584.1</v>
      </c>
      <c r="AA12" s="77">
        <v>3342.7</v>
      </c>
      <c r="AB12" s="35">
        <v>3743.4</v>
      </c>
      <c r="AC12" s="35">
        <v>1841.1</v>
      </c>
      <c r="AD12" s="176">
        <f t="shared" si="7"/>
        <v>6103.2</v>
      </c>
      <c r="AE12" s="176">
        <v>13923</v>
      </c>
      <c r="AF12" s="176">
        <v>11322</v>
      </c>
      <c r="AG12" s="176">
        <f t="shared" si="18"/>
        <v>2350</v>
      </c>
      <c r="AH12" s="176">
        <f t="shared" si="8"/>
        <v>2350</v>
      </c>
      <c r="AI12" s="176">
        <v>100</v>
      </c>
      <c r="AJ12" s="176">
        <v>100</v>
      </c>
      <c r="AK12" s="176">
        <v>100</v>
      </c>
      <c r="AL12" s="176">
        <v>100</v>
      </c>
      <c r="AM12" s="176">
        <v>100</v>
      </c>
      <c r="AN12" s="176">
        <v>100</v>
      </c>
      <c r="AO12" s="176">
        <v>100</v>
      </c>
      <c r="AP12" s="176">
        <v>150</v>
      </c>
      <c r="AQ12" s="176">
        <v>500</v>
      </c>
      <c r="AR12" s="176">
        <v>0</v>
      </c>
      <c r="AS12" s="176">
        <v>1000</v>
      </c>
      <c r="AT12" s="176">
        <v>11573</v>
      </c>
      <c r="AU12" s="176"/>
      <c r="AV12" s="174"/>
      <c r="AW12" s="174"/>
      <c r="AX12" s="174"/>
      <c r="AY12" s="176">
        <v>-79.2</v>
      </c>
      <c r="AZ12" s="176">
        <v>-151.30000000000001</v>
      </c>
      <c r="BA12" s="176">
        <v>-45</v>
      </c>
      <c r="BB12" s="176">
        <f>37.9+365.3+4.8</f>
        <v>408</v>
      </c>
      <c r="BC12" s="176">
        <f>11.9+30+2.7</f>
        <v>44.6</v>
      </c>
      <c r="BD12" s="176">
        <v>76.099999999999994</v>
      </c>
      <c r="BE12" s="176">
        <f>63.2+1.9</f>
        <v>65.100000000000009</v>
      </c>
      <c r="BF12" s="176">
        <f>4.5+89.5+2.2+2.6</f>
        <v>98.8</v>
      </c>
      <c r="BG12" s="176">
        <v>96.1</v>
      </c>
      <c r="BH12" s="176">
        <f>90.8+1131.4</f>
        <v>1222.2</v>
      </c>
      <c r="BI12" s="176">
        <f>614.9+3295.2+223+126.2</f>
        <v>4259.3</v>
      </c>
      <c r="BJ12" s="176">
        <f>194.6+3665.9+180.2</f>
        <v>4040.7</v>
      </c>
      <c r="BK12" s="176">
        <f>87.2+1249.2+26.9+9.2+39.7+18.2+44.7+22</f>
        <v>1497.1000000000004</v>
      </c>
      <c r="BL12" s="236">
        <f t="shared" si="9"/>
        <v>11611.699999999999</v>
      </c>
      <c r="BM12" s="70">
        <f t="shared" si="10"/>
        <v>3040.7</v>
      </c>
      <c r="BN12" s="70">
        <f t="shared" si="11"/>
        <v>9261.6999999999989</v>
      </c>
      <c r="BO12" s="70">
        <f t="shared" si="12"/>
        <v>9261.6999999999989</v>
      </c>
      <c r="BP12" s="66">
        <f t="shared" si="16"/>
        <v>83.399411046469865</v>
      </c>
      <c r="BQ12" s="102">
        <f t="shared" si="1"/>
        <v>-2311.3000000000011</v>
      </c>
      <c r="BR12" s="186">
        <f t="shared" si="17"/>
        <v>102.55873520579402</v>
      </c>
      <c r="BS12" s="186">
        <f t="shared" si="2"/>
        <v>289.69999999999891</v>
      </c>
      <c r="BT12" s="186">
        <f t="shared" si="13"/>
        <v>190.25593131472013</v>
      </c>
      <c r="BU12" s="186">
        <f t="shared" si="14"/>
        <v>5508.4999999999991</v>
      </c>
      <c r="BV12" s="176">
        <v>86</v>
      </c>
      <c r="BW12" s="176">
        <v>5507.4</v>
      </c>
      <c r="BX12" s="176">
        <v>1500</v>
      </c>
      <c r="BY12" s="296">
        <f t="shared" si="15"/>
        <v>18619.099999999999</v>
      </c>
    </row>
    <row r="13" spans="1:77" s="14" customFormat="1" ht="23.25" outlineLevel="1" thickBot="1" x14ac:dyDescent="0.35">
      <c r="A13" s="5" t="s">
        <v>20</v>
      </c>
      <c r="B13" s="195" t="s">
        <v>105</v>
      </c>
      <c r="C13" s="137"/>
      <c r="D13" s="36">
        <v>1751.3</v>
      </c>
      <c r="E13" s="66">
        <v>1597.4</v>
      </c>
      <c r="F13" s="98">
        <v>1910.8</v>
      </c>
      <c r="G13" s="66">
        <v>133</v>
      </c>
      <c r="H13" s="67">
        <v>32.4</v>
      </c>
      <c r="I13" s="66">
        <f>2.1+3.9</f>
        <v>6</v>
      </c>
      <c r="J13" s="67">
        <f>30.1+0.6+8.4+1.4</f>
        <v>40.5</v>
      </c>
      <c r="K13" s="66">
        <f>2.9+1.9</f>
        <v>4.8</v>
      </c>
      <c r="L13" s="67">
        <f t="shared" si="3"/>
        <v>216.7</v>
      </c>
      <c r="M13" s="176" t="e">
        <f>L13+#REF!</f>
        <v>#REF!</v>
      </c>
      <c r="N13" s="220">
        <f>O13+P13+Q13+S13+T13+U13+W13+X13+Y13+AA13+AB13+AC13</f>
        <v>1955.1000000000004</v>
      </c>
      <c r="O13" s="85">
        <v>105.7</v>
      </c>
      <c r="P13" s="35">
        <v>158.69999999999999</v>
      </c>
      <c r="Q13" s="35">
        <v>213.8</v>
      </c>
      <c r="R13" s="87">
        <f t="shared" si="0"/>
        <v>478.2</v>
      </c>
      <c r="S13" s="85">
        <v>230</v>
      </c>
      <c r="T13" s="35">
        <v>107.1</v>
      </c>
      <c r="U13" s="35">
        <v>171.8</v>
      </c>
      <c r="V13" s="87">
        <f t="shared" si="5"/>
        <v>508.90000000000003</v>
      </c>
      <c r="W13" s="85">
        <v>144.6</v>
      </c>
      <c r="X13" s="35">
        <v>195</v>
      </c>
      <c r="Y13" s="35">
        <v>130.4</v>
      </c>
      <c r="Z13" s="87">
        <f t="shared" si="6"/>
        <v>470</v>
      </c>
      <c r="AA13" s="77">
        <v>144.4</v>
      </c>
      <c r="AB13" s="35">
        <v>136.9</v>
      </c>
      <c r="AC13" s="35">
        <v>216.7</v>
      </c>
      <c r="AD13" s="176">
        <f t="shared" si="7"/>
        <v>1601.5000000000002</v>
      </c>
      <c r="AE13" s="176">
        <v>1923</v>
      </c>
      <c r="AF13" s="176">
        <v>1695.5</v>
      </c>
      <c r="AG13" s="176">
        <f>AH13-227.5</f>
        <v>1503.4000000000003</v>
      </c>
      <c r="AH13" s="176">
        <f t="shared" si="8"/>
        <v>1730.9000000000003</v>
      </c>
      <c r="AI13" s="176">
        <v>105.7</v>
      </c>
      <c r="AJ13" s="176">
        <v>164.2</v>
      </c>
      <c r="AK13" s="176">
        <v>167.2</v>
      </c>
      <c r="AL13" s="176">
        <v>181.8</v>
      </c>
      <c r="AM13" s="176">
        <v>134.30000000000001</v>
      </c>
      <c r="AN13" s="176">
        <v>145.4</v>
      </c>
      <c r="AO13" s="176">
        <v>167.8</v>
      </c>
      <c r="AP13" s="176">
        <v>159.80000000000001</v>
      </c>
      <c r="AQ13" s="176">
        <v>162.4</v>
      </c>
      <c r="AR13" s="176">
        <v>178.9</v>
      </c>
      <c r="AS13" s="176">
        <v>163.4</v>
      </c>
      <c r="AT13" s="176">
        <v>192.1</v>
      </c>
      <c r="AU13" s="176"/>
      <c r="AV13" s="174"/>
      <c r="AW13" s="174"/>
      <c r="AX13" s="174"/>
      <c r="AY13" s="176">
        <v>1.4</v>
      </c>
      <c r="AZ13" s="176">
        <v>87.8</v>
      </c>
      <c r="BA13" s="176">
        <v>131.19999999999999</v>
      </c>
      <c r="BB13" s="176">
        <f>10.9+121.7+6.9+0.1</f>
        <v>139.6</v>
      </c>
      <c r="BC13" s="176">
        <f>2.5+88.8+11.9+7.8+12.6</f>
        <v>123.6</v>
      </c>
      <c r="BD13" s="176">
        <v>176.8</v>
      </c>
      <c r="BE13" s="176">
        <f>1.8+103.9+13.3-1.8</f>
        <v>117.2</v>
      </c>
      <c r="BF13" s="176">
        <f>2.9+143.6+4.7+8.7</f>
        <v>159.89999999999998</v>
      </c>
      <c r="BG13" s="176">
        <v>165.5</v>
      </c>
      <c r="BH13" s="176">
        <f>13.3+130.6</f>
        <v>143.9</v>
      </c>
      <c r="BI13" s="176">
        <f>3.5+104.6+5+22.5</f>
        <v>135.6</v>
      </c>
      <c r="BJ13" s="176">
        <f>8.3+142.9+7.1</f>
        <v>158.30000000000001</v>
      </c>
      <c r="BK13" s="176">
        <f>7.6+120.7+11.5+2.8+8.5+1.7+4.7+10.7</f>
        <v>168.2</v>
      </c>
      <c r="BL13" s="236">
        <f t="shared" si="9"/>
        <v>1707.6</v>
      </c>
      <c r="BM13" s="70">
        <f t="shared" si="10"/>
        <v>-5.0999999999999943</v>
      </c>
      <c r="BN13" s="70">
        <f t="shared" si="11"/>
        <v>204.19999999999959</v>
      </c>
      <c r="BO13" s="70">
        <f t="shared" si="12"/>
        <v>-23.300000000000409</v>
      </c>
      <c r="BP13" s="66">
        <f t="shared" si="16"/>
        <v>88.798751950078</v>
      </c>
      <c r="BQ13" s="102">
        <f t="shared" si="1"/>
        <v>-215.40000000000009</v>
      </c>
      <c r="BR13" s="186">
        <f t="shared" si="17"/>
        <v>100.71365378944263</v>
      </c>
      <c r="BS13" s="186">
        <f t="shared" si="2"/>
        <v>12.099999999999909</v>
      </c>
      <c r="BT13" s="186">
        <f t="shared" si="13"/>
        <v>106.62503902591318</v>
      </c>
      <c r="BU13" s="186">
        <f t="shared" si="14"/>
        <v>106.09999999999968</v>
      </c>
      <c r="BV13" s="176">
        <v>150</v>
      </c>
      <c r="BW13" s="176">
        <v>150</v>
      </c>
      <c r="BX13" s="176">
        <v>150</v>
      </c>
      <c r="BY13" s="296">
        <f t="shared" si="15"/>
        <v>2007.6</v>
      </c>
    </row>
    <row r="14" spans="1:77" s="14" customFormat="1" ht="22.5" customHeight="1" outlineLevel="1" thickBot="1" x14ac:dyDescent="0.35">
      <c r="A14" s="5"/>
      <c r="B14" s="164" t="s">
        <v>145</v>
      </c>
      <c r="C14" s="165"/>
      <c r="D14" s="105">
        <f>SUM(D4:D13)</f>
        <v>230922.19999999998</v>
      </c>
      <c r="E14" s="105">
        <f t="shared" ref="E14:L14" si="19">SUM(E4:E13)</f>
        <v>224662</v>
      </c>
      <c r="F14" s="105">
        <f>SUM(F4:F13)</f>
        <v>252231.9</v>
      </c>
      <c r="G14" s="105">
        <f t="shared" si="19"/>
        <v>11529.1</v>
      </c>
      <c r="H14" s="105">
        <f t="shared" si="19"/>
        <v>6132</v>
      </c>
      <c r="I14" s="105">
        <f t="shared" si="19"/>
        <v>2184.3000000000002</v>
      </c>
      <c r="J14" s="105">
        <f t="shared" si="19"/>
        <v>16188.6</v>
      </c>
      <c r="K14" s="105">
        <f t="shared" si="19"/>
        <v>3750.3999999999996</v>
      </c>
      <c r="L14" s="105">
        <f t="shared" si="19"/>
        <v>39784.500000000007</v>
      </c>
      <c r="M14" s="174" t="e">
        <f>SUM(M4:M13)</f>
        <v>#REF!</v>
      </c>
      <c r="N14" s="221">
        <f>SUM(N4:N13)</f>
        <v>266897.69999999995</v>
      </c>
      <c r="O14" s="75">
        <f t="shared" ref="O14:AC14" si="20">SUM(O4:O13)</f>
        <v>8788.4</v>
      </c>
      <c r="P14" s="75">
        <f t="shared" si="20"/>
        <v>19546.100000000002</v>
      </c>
      <c r="Q14" s="75">
        <f>SUM(Q4:Q13)</f>
        <v>18034.599999999999</v>
      </c>
      <c r="R14" s="75">
        <f t="shared" si="20"/>
        <v>46369.1</v>
      </c>
      <c r="S14" s="75">
        <f t="shared" si="20"/>
        <v>22861.000000000004</v>
      </c>
      <c r="T14" s="75">
        <f t="shared" si="20"/>
        <v>18753.599999999999</v>
      </c>
      <c r="U14" s="75">
        <f t="shared" si="20"/>
        <v>20460.3</v>
      </c>
      <c r="V14" s="75">
        <f t="shared" si="20"/>
        <v>62074.900000000009</v>
      </c>
      <c r="W14" s="75">
        <f t="shared" si="20"/>
        <v>23691.099999999995</v>
      </c>
      <c r="X14" s="75">
        <f t="shared" si="20"/>
        <v>19416.299999999996</v>
      </c>
      <c r="Y14" s="75">
        <f t="shared" si="20"/>
        <v>18982.399999999998</v>
      </c>
      <c r="Z14" s="75">
        <f t="shared" si="20"/>
        <v>62089.799999999996</v>
      </c>
      <c r="AA14" s="75">
        <f t="shared" si="20"/>
        <v>28708.800000000007</v>
      </c>
      <c r="AB14" s="75">
        <f t="shared" si="20"/>
        <v>27870.600000000006</v>
      </c>
      <c r="AC14" s="75">
        <f t="shared" si="20"/>
        <v>39784.500000000007</v>
      </c>
      <c r="AD14" s="174">
        <f>SUM(AD4:AD13)</f>
        <v>199242.6</v>
      </c>
      <c r="AE14" s="174">
        <f t="shared" ref="AE14" si="21">SUM(AE4:AE13)</f>
        <v>276513.40000000002</v>
      </c>
      <c r="AF14" s="174">
        <f>SUM(AF4:AF13)</f>
        <v>255772.80000000002</v>
      </c>
      <c r="AG14" s="174">
        <f>SUM(AG4:AG13)</f>
        <v>192253.7</v>
      </c>
      <c r="AH14" s="176">
        <f t="shared" si="8"/>
        <v>214319.40000000002</v>
      </c>
      <c r="AI14" s="174">
        <f t="shared" ref="AI14:BJ14" si="22">SUM(AI4:AI13)</f>
        <v>255.7</v>
      </c>
      <c r="AJ14" s="174">
        <f t="shared" si="22"/>
        <v>19582.600000000002</v>
      </c>
      <c r="AK14" s="174">
        <f t="shared" si="22"/>
        <v>23739.8</v>
      </c>
      <c r="AL14" s="174">
        <f t="shared" si="22"/>
        <v>17636.8</v>
      </c>
      <c r="AM14" s="174">
        <f t="shared" si="22"/>
        <v>22606</v>
      </c>
      <c r="AN14" s="174">
        <f t="shared" si="22"/>
        <v>23512.700000000004</v>
      </c>
      <c r="AO14" s="174">
        <f t="shared" si="22"/>
        <v>18928.8</v>
      </c>
      <c r="AP14" s="174">
        <f t="shared" si="22"/>
        <v>24621.9</v>
      </c>
      <c r="AQ14" s="174">
        <f t="shared" si="22"/>
        <v>18893.400000000001</v>
      </c>
      <c r="AR14" s="174">
        <f t="shared" si="22"/>
        <v>21024.9</v>
      </c>
      <c r="AS14" s="174">
        <f t="shared" si="22"/>
        <v>23516.800000000003</v>
      </c>
      <c r="AT14" s="174">
        <f t="shared" si="22"/>
        <v>62194</v>
      </c>
      <c r="AU14" s="174">
        <f t="shared" si="22"/>
        <v>0</v>
      </c>
      <c r="AV14" s="174">
        <f t="shared" si="22"/>
        <v>0</v>
      </c>
      <c r="AW14" s="174">
        <f t="shared" si="22"/>
        <v>0</v>
      </c>
      <c r="AX14" s="174">
        <f t="shared" si="22"/>
        <v>0</v>
      </c>
      <c r="AY14" s="174">
        <f t="shared" si="22"/>
        <v>-4742.4000000000005</v>
      </c>
      <c r="AZ14" s="174">
        <f t="shared" si="22"/>
        <v>7427.2999999999993</v>
      </c>
      <c r="BA14" s="174">
        <f t="shared" si="22"/>
        <v>-332.90000000000003</v>
      </c>
      <c r="BB14" s="174">
        <f t="shared" si="22"/>
        <v>34165.299999999996</v>
      </c>
      <c r="BC14" s="174">
        <f t="shared" si="22"/>
        <v>28886.899999999998</v>
      </c>
      <c r="BD14" s="174">
        <f t="shared" si="22"/>
        <v>19697.800000000003</v>
      </c>
      <c r="BE14" s="174">
        <f t="shared" si="22"/>
        <v>22924.799999999996</v>
      </c>
      <c r="BF14" s="174">
        <f t="shared" si="22"/>
        <v>24581.200000000001</v>
      </c>
      <c r="BG14" s="174">
        <f t="shared" si="22"/>
        <v>20902.900000000001</v>
      </c>
      <c r="BH14" s="174">
        <f t="shared" si="22"/>
        <v>19647.300000000003</v>
      </c>
      <c r="BI14" s="174">
        <f t="shared" si="22"/>
        <v>12059.700000000003</v>
      </c>
      <c r="BJ14" s="174">
        <f t="shared" si="22"/>
        <v>20483.499999999996</v>
      </c>
      <c r="BK14" s="174">
        <f t="shared" ref="BK14" si="23">SUM(BK4:BK13)</f>
        <v>44497.4</v>
      </c>
      <c r="BL14" s="236">
        <f>SUM(BL4:BL13)</f>
        <v>254941.20000000004</v>
      </c>
      <c r="BM14" s="236">
        <f>SUM(BM4:BM13)</f>
        <v>-3033.3000000000015</v>
      </c>
      <c r="BN14" s="236">
        <f>SUM(BN4:BN13)</f>
        <v>62687.500000000015</v>
      </c>
      <c r="BO14" s="236">
        <f>SUM(BO4:BO13)</f>
        <v>40621.800000000003</v>
      </c>
      <c r="BP14" s="265">
        <f t="shared" si="16"/>
        <v>92.198497432674159</v>
      </c>
      <c r="BQ14" s="266">
        <f t="shared" si="1"/>
        <v>-21572.199999999983</v>
      </c>
      <c r="BR14" s="266">
        <f t="shared" si="17"/>
        <v>99.674867695079399</v>
      </c>
      <c r="BS14" s="266">
        <f t="shared" si="2"/>
        <v>-831.59999999997672</v>
      </c>
      <c r="BT14" s="266">
        <f t="shared" si="13"/>
        <v>127.95516621445415</v>
      </c>
      <c r="BU14" s="266">
        <f t="shared" si="14"/>
        <v>55698.600000000035</v>
      </c>
      <c r="BV14" s="236">
        <f t="shared" ref="BV14:BX14" si="24">SUM(BV4:BV13)</f>
        <v>513.29999999999927</v>
      </c>
      <c r="BW14" s="236">
        <f t="shared" si="24"/>
        <v>29155.1</v>
      </c>
      <c r="BX14" s="236">
        <f t="shared" si="24"/>
        <v>41822.699999999997</v>
      </c>
      <c r="BY14" s="297">
        <f t="shared" si="15"/>
        <v>325919.00000000006</v>
      </c>
    </row>
    <row r="15" spans="1:77" s="14" customFormat="1" ht="21" customHeight="1" outlineLevel="2" x14ac:dyDescent="0.3">
      <c r="A15" s="5" t="s">
        <v>21</v>
      </c>
      <c r="B15" s="196" t="s">
        <v>106</v>
      </c>
      <c r="C15" s="137"/>
      <c r="D15" s="36">
        <v>78</v>
      </c>
      <c r="E15" s="66">
        <v>79</v>
      </c>
      <c r="F15" s="98">
        <v>143.9</v>
      </c>
      <c r="G15" s="66"/>
      <c r="H15" s="67"/>
      <c r="I15" s="66"/>
      <c r="J15" s="67"/>
      <c r="K15" s="66"/>
      <c r="L15" s="67">
        <f t="shared" si="3"/>
        <v>0</v>
      </c>
      <c r="M15" s="176" t="e">
        <f>L15+#REF!</f>
        <v>#REF!</v>
      </c>
      <c r="N15" s="222">
        <f t="shared" ref="N15:N25" si="25">O15+P15+Q15+S15+T15+U15+W15+X15+Y15+AA15+AB15+AC15</f>
        <v>143.9</v>
      </c>
      <c r="O15" s="89"/>
      <c r="P15" s="44"/>
      <c r="Q15" s="44"/>
      <c r="R15" s="87">
        <f t="shared" si="0"/>
        <v>0</v>
      </c>
      <c r="S15" s="89">
        <v>143.9</v>
      </c>
      <c r="T15" s="44"/>
      <c r="U15" s="44"/>
      <c r="V15" s="87">
        <f t="shared" ref="V15:V18" si="26">S15+T15+U15</f>
        <v>143.9</v>
      </c>
      <c r="W15" s="89"/>
      <c r="X15" s="44"/>
      <c r="Y15" s="44"/>
      <c r="Z15" s="87">
        <f t="shared" ref="Z15:Z18" si="27">W15+X15+Y15</f>
        <v>0</v>
      </c>
      <c r="AA15" s="80"/>
      <c r="AB15" s="44"/>
      <c r="AC15" s="35"/>
      <c r="AD15" s="176">
        <f t="shared" si="7"/>
        <v>143.9</v>
      </c>
      <c r="AE15" s="176">
        <v>143.9</v>
      </c>
      <c r="AF15" s="176">
        <v>124</v>
      </c>
      <c r="AG15" s="176">
        <f>AH15-19.9</f>
        <v>124</v>
      </c>
      <c r="AH15" s="176">
        <f t="shared" si="8"/>
        <v>143.9</v>
      </c>
      <c r="AI15" s="176"/>
      <c r="AJ15" s="176"/>
      <c r="AK15" s="176"/>
      <c r="AL15" s="176"/>
      <c r="AM15" s="176"/>
      <c r="AN15" s="176">
        <v>143.9</v>
      </c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>
        <f t="shared" ref="AZ15:AZ70" si="28">AU15+AV15+AW15+AX15+AY15</f>
        <v>0</v>
      </c>
      <c r="BA15" s="176"/>
      <c r="BB15" s="176">
        <v>124</v>
      </c>
      <c r="BC15" s="176"/>
      <c r="BD15" s="176"/>
      <c r="BE15" s="176"/>
      <c r="BF15" s="176"/>
      <c r="BG15" s="176"/>
      <c r="BH15" s="176"/>
      <c r="BI15" s="176"/>
      <c r="BJ15" s="176"/>
      <c r="BK15" s="176"/>
      <c r="BL15" s="236">
        <f t="shared" ref="BL15:BL29" si="29">AZ15+BA15+BB15+BC15+BD15+BE15+BF15+BG15+BH15+BI15+BJ15+BK15</f>
        <v>124</v>
      </c>
      <c r="BM15" s="70">
        <f t="shared" si="10"/>
        <v>0</v>
      </c>
      <c r="BN15" s="70">
        <f t="shared" si="11"/>
        <v>0</v>
      </c>
      <c r="BO15" s="70">
        <f t="shared" ref="BO15:BO29" si="30">BL15-AH15</f>
        <v>-19.900000000000006</v>
      </c>
      <c r="BP15" s="66">
        <f t="shared" si="16"/>
        <v>86.170952050034742</v>
      </c>
      <c r="BQ15" s="102">
        <f t="shared" si="1"/>
        <v>-19.900000000000006</v>
      </c>
      <c r="BR15" s="186">
        <f t="shared" si="17"/>
        <v>100</v>
      </c>
      <c r="BS15" s="186">
        <f t="shared" si="2"/>
        <v>0</v>
      </c>
      <c r="BT15" s="186">
        <f t="shared" si="13"/>
        <v>86.170952050034742</v>
      </c>
      <c r="BU15" s="186">
        <f t="shared" si="14"/>
        <v>-19.900000000000006</v>
      </c>
      <c r="BV15" s="176"/>
      <c r="BW15" s="176"/>
      <c r="BX15" s="176"/>
      <c r="BY15" s="296">
        <f t="shared" si="15"/>
        <v>124</v>
      </c>
    </row>
    <row r="16" spans="1:77" s="14" customFormat="1" ht="35.25" customHeight="1" outlineLevel="2" x14ac:dyDescent="0.3">
      <c r="A16" s="5"/>
      <c r="B16" s="241" t="s">
        <v>364</v>
      </c>
      <c r="C16" s="137"/>
      <c r="D16" s="36"/>
      <c r="E16" s="66"/>
      <c r="F16" s="98"/>
      <c r="G16" s="66"/>
      <c r="H16" s="67"/>
      <c r="I16" s="66"/>
      <c r="J16" s="67"/>
      <c r="K16" s="66"/>
      <c r="L16" s="67"/>
      <c r="M16" s="176"/>
      <c r="N16" s="222"/>
      <c r="O16" s="89"/>
      <c r="P16" s="44"/>
      <c r="Q16" s="44"/>
      <c r="R16" s="87"/>
      <c r="S16" s="89"/>
      <c r="T16" s="44"/>
      <c r="U16" s="44"/>
      <c r="V16" s="87"/>
      <c r="W16" s="89"/>
      <c r="X16" s="44"/>
      <c r="Y16" s="44"/>
      <c r="Z16" s="87"/>
      <c r="AA16" s="80"/>
      <c r="AB16" s="44"/>
      <c r="AC16" s="35"/>
      <c r="AD16" s="176">
        <f t="shared" si="7"/>
        <v>0</v>
      </c>
      <c r="AE16" s="176"/>
      <c r="AF16" s="176">
        <v>0.2</v>
      </c>
      <c r="AG16" s="176">
        <v>0.2</v>
      </c>
      <c r="AH16" s="176">
        <f t="shared" si="8"/>
        <v>0</v>
      </c>
      <c r="AI16" s="176"/>
      <c r="AJ16" s="176">
        <v>0</v>
      </c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>
        <v>0.2</v>
      </c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236">
        <f t="shared" si="29"/>
        <v>0.2</v>
      </c>
      <c r="BM16" s="70">
        <f t="shared" si="10"/>
        <v>0</v>
      </c>
      <c r="BN16" s="70">
        <f t="shared" si="11"/>
        <v>0</v>
      </c>
      <c r="BO16" s="70">
        <f t="shared" si="30"/>
        <v>0.2</v>
      </c>
      <c r="BP16" s="66"/>
      <c r="BQ16" s="102">
        <f t="shared" si="1"/>
        <v>0.2</v>
      </c>
      <c r="BR16" s="186">
        <f t="shared" si="17"/>
        <v>100</v>
      </c>
      <c r="BS16" s="186">
        <f t="shared" si="2"/>
        <v>0</v>
      </c>
      <c r="BT16" s="186"/>
      <c r="BU16" s="186">
        <f t="shared" si="14"/>
        <v>0.2</v>
      </c>
      <c r="BV16" s="176"/>
      <c r="BW16" s="176"/>
      <c r="BX16" s="176"/>
      <c r="BY16" s="296">
        <f t="shared" si="15"/>
        <v>0.2</v>
      </c>
    </row>
    <row r="17" spans="1:80" s="14" customFormat="1" ht="18" customHeight="1" outlineLevel="3" x14ac:dyDescent="0.3">
      <c r="A17" s="5" t="s">
        <v>22</v>
      </c>
      <c r="B17" s="195" t="s">
        <v>347</v>
      </c>
      <c r="C17" s="137"/>
      <c r="D17" s="36">
        <v>3552.6</v>
      </c>
      <c r="E17" s="66">
        <v>3850.9</v>
      </c>
      <c r="F17" s="98">
        <v>3684.7</v>
      </c>
      <c r="G17" s="66">
        <v>47.3</v>
      </c>
      <c r="H17" s="67">
        <v>240.5</v>
      </c>
      <c r="I17" s="66">
        <f>186.9+3.4</f>
        <v>190.3</v>
      </c>
      <c r="J17" s="119">
        <f>4.7+3.1+8.9</f>
        <v>16.700000000000003</v>
      </c>
      <c r="K17" s="66">
        <f>22+29</f>
        <v>51</v>
      </c>
      <c r="L17" s="67">
        <f t="shared" si="3"/>
        <v>545.79999999999995</v>
      </c>
      <c r="M17" s="176" t="e">
        <f>L17+#REF!</f>
        <v>#REF!</v>
      </c>
      <c r="N17" s="219">
        <f t="shared" si="25"/>
        <v>3723.8999999999996</v>
      </c>
      <c r="O17" s="90">
        <v>437.1</v>
      </c>
      <c r="P17" s="47">
        <v>359.4</v>
      </c>
      <c r="Q17" s="46">
        <v>175.5</v>
      </c>
      <c r="R17" s="87">
        <f t="shared" si="0"/>
        <v>972</v>
      </c>
      <c r="S17" s="90">
        <v>224.6</v>
      </c>
      <c r="T17" s="46">
        <v>545.9</v>
      </c>
      <c r="U17" s="46">
        <v>221.6</v>
      </c>
      <c r="V17" s="87">
        <f t="shared" si="26"/>
        <v>992.1</v>
      </c>
      <c r="W17" s="90">
        <v>241</v>
      </c>
      <c r="X17" s="46">
        <v>223.7</v>
      </c>
      <c r="Y17" s="46">
        <v>277.39999999999998</v>
      </c>
      <c r="Z17" s="87">
        <f t="shared" si="27"/>
        <v>742.09999999999991</v>
      </c>
      <c r="AA17" s="77">
        <v>169.9</v>
      </c>
      <c r="AB17" s="35">
        <v>302</v>
      </c>
      <c r="AC17" s="35">
        <v>545.79999999999995</v>
      </c>
      <c r="AD17" s="176">
        <f t="shared" si="7"/>
        <v>2876.1</v>
      </c>
      <c r="AE17" s="176">
        <v>4043.6</v>
      </c>
      <c r="AF17" s="176">
        <v>4043.6</v>
      </c>
      <c r="AG17" s="176">
        <f>AH17</f>
        <v>2406</v>
      </c>
      <c r="AH17" s="176">
        <f t="shared" si="8"/>
        <v>2406</v>
      </c>
      <c r="AI17" s="176">
        <v>210</v>
      </c>
      <c r="AJ17" s="176">
        <v>220</v>
      </c>
      <c r="AK17" s="176">
        <v>226</v>
      </c>
      <c r="AL17" s="176">
        <v>220</v>
      </c>
      <c r="AM17" s="176">
        <v>215</v>
      </c>
      <c r="AN17" s="176">
        <v>215</v>
      </c>
      <c r="AO17" s="176">
        <v>220</v>
      </c>
      <c r="AP17" s="176">
        <v>220</v>
      </c>
      <c r="AQ17" s="176">
        <v>220</v>
      </c>
      <c r="AR17" s="176">
        <v>220</v>
      </c>
      <c r="AS17" s="176">
        <v>220</v>
      </c>
      <c r="AT17" s="176">
        <v>1637.6</v>
      </c>
      <c r="AU17" s="176"/>
      <c r="AV17" s="176"/>
      <c r="AW17" s="176"/>
      <c r="AX17" s="176"/>
      <c r="AY17" s="176"/>
      <c r="AZ17" s="176">
        <v>126.9</v>
      </c>
      <c r="BA17" s="176">
        <v>848.2</v>
      </c>
      <c r="BB17" s="176">
        <v>353.3</v>
      </c>
      <c r="BC17" s="176">
        <f>5.5+426.3+27</f>
        <v>458.8</v>
      </c>
      <c r="BD17" s="176">
        <v>180.2</v>
      </c>
      <c r="BE17" s="176">
        <v>162.80000000000001</v>
      </c>
      <c r="BF17" s="176">
        <f>10.3+182.2</f>
        <v>192.5</v>
      </c>
      <c r="BG17" s="176">
        <v>190.2</v>
      </c>
      <c r="BH17" s="176">
        <v>225.6</v>
      </c>
      <c r="BI17" s="176">
        <v>213.7</v>
      </c>
      <c r="BJ17" s="176">
        <f>4.7+293.1+7.1-4.2</f>
        <v>300.70000000000005</v>
      </c>
      <c r="BK17" s="176">
        <f>341.6-6.3+245.7+1</f>
        <v>582</v>
      </c>
      <c r="BL17" s="236">
        <f t="shared" si="29"/>
        <v>3834.8999999999996</v>
      </c>
      <c r="BM17" s="70">
        <f t="shared" si="10"/>
        <v>80.700000000000045</v>
      </c>
      <c r="BN17" s="70">
        <f t="shared" si="11"/>
        <v>1428.8999999999996</v>
      </c>
      <c r="BO17" s="70">
        <f t="shared" si="30"/>
        <v>1428.8999999999996</v>
      </c>
      <c r="BP17" s="66">
        <f>BL17/AE17*100</f>
        <v>94.838757542783654</v>
      </c>
      <c r="BQ17" s="102">
        <f t="shared" si="1"/>
        <v>-208.70000000000027</v>
      </c>
      <c r="BR17" s="186">
        <f t="shared" si="17"/>
        <v>94.838757542783654</v>
      </c>
      <c r="BS17" s="186">
        <f t="shared" si="2"/>
        <v>-208.70000000000027</v>
      </c>
      <c r="BT17" s="186">
        <f t="shared" si="13"/>
        <v>133.33681026389903</v>
      </c>
      <c r="BU17" s="186">
        <f t="shared" si="14"/>
        <v>958.79999999999973</v>
      </c>
      <c r="BV17" s="176">
        <v>181.8</v>
      </c>
      <c r="BW17" s="176">
        <v>181.8</v>
      </c>
      <c r="BX17" s="176">
        <v>181.8</v>
      </c>
      <c r="BY17" s="296">
        <f t="shared" si="15"/>
        <v>4198.5</v>
      </c>
    </row>
    <row r="18" spans="1:80" s="14" customFormat="1" ht="23.25" customHeight="1" outlineLevel="3" x14ac:dyDescent="0.3">
      <c r="A18" s="5" t="s">
        <v>23</v>
      </c>
      <c r="B18" s="195" t="s">
        <v>107</v>
      </c>
      <c r="C18" s="137"/>
      <c r="D18" s="36">
        <v>1291.0999999999999</v>
      </c>
      <c r="E18" s="66">
        <v>1371.7</v>
      </c>
      <c r="F18" s="98">
        <v>1275.2</v>
      </c>
      <c r="G18" s="66">
        <v>77.3</v>
      </c>
      <c r="H18" s="67"/>
      <c r="I18" s="66">
        <f>9.2+65.3</f>
        <v>74.5</v>
      </c>
      <c r="J18" s="67">
        <v>9.5</v>
      </c>
      <c r="K18" s="66"/>
      <c r="L18" s="67">
        <f t="shared" si="3"/>
        <v>161.30000000000001</v>
      </c>
      <c r="M18" s="176" t="e">
        <f>L18+#REF!</f>
        <v>#REF!</v>
      </c>
      <c r="N18" s="219">
        <f t="shared" si="25"/>
        <v>1275.2</v>
      </c>
      <c r="O18" s="85">
        <v>63.6</v>
      </c>
      <c r="P18" s="35">
        <v>127.3</v>
      </c>
      <c r="Q18" s="35">
        <v>75.400000000000006</v>
      </c>
      <c r="R18" s="87">
        <f t="shared" si="0"/>
        <v>266.3</v>
      </c>
      <c r="S18" s="85">
        <v>129.69999999999999</v>
      </c>
      <c r="T18" s="35">
        <v>115.9</v>
      </c>
      <c r="U18" s="35">
        <v>139.5</v>
      </c>
      <c r="V18" s="87">
        <f t="shared" si="26"/>
        <v>385.1</v>
      </c>
      <c r="W18" s="85">
        <v>94</v>
      </c>
      <c r="X18" s="35">
        <v>82.6</v>
      </c>
      <c r="Y18" s="35">
        <v>111.1</v>
      </c>
      <c r="Z18" s="87">
        <f t="shared" si="27"/>
        <v>287.7</v>
      </c>
      <c r="AA18" s="77">
        <v>82.3</v>
      </c>
      <c r="AB18" s="35">
        <v>92.5</v>
      </c>
      <c r="AC18" s="35">
        <v>161.30000000000001</v>
      </c>
      <c r="AD18" s="176">
        <f t="shared" si="7"/>
        <v>1021.4000000000001</v>
      </c>
      <c r="AE18" s="176">
        <v>1403.9</v>
      </c>
      <c r="AF18" s="176">
        <v>1926.4</v>
      </c>
      <c r="AG18" s="176">
        <f>AH18+522.5</f>
        <v>1605.5</v>
      </c>
      <c r="AH18" s="176">
        <f t="shared" si="8"/>
        <v>1083</v>
      </c>
      <c r="AI18" s="176">
        <v>95</v>
      </c>
      <c r="AJ18" s="176">
        <v>95</v>
      </c>
      <c r="AK18" s="176">
        <v>95</v>
      </c>
      <c r="AL18" s="176">
        <v>95</v>
      </c>
      <c r="AM18" s="176">
        <v>133</v>
      </c>
      <c r="AN18" s="176">
        <v>95</v>
      </c>
      <c r="AO18" s="176">
        <v>95</v>
      </c>
      <c r="AP18" s="176">
        <v>95</v>
      </c>
      <c r="AQ18" s="176">
        <v>95</v>
      </c>
      <c r="AR18" s="176">
        <v>95</v>
      </c>
      <c r="AS18" s="176">
        <v>95</v>
      </c>
      <c r="AT18" s="176">
        <v>320.89999999999998</v>
      </c>
      <c r="AU18" s="176"/>
      <c r="AV18" s="176"/>
      <c r="AW18" s="176"/>
      <c r="AX18" s="176"/>
      <c r="AY18" s="176"/>
      <c r="AZ18" s="176">
        <f>10+99.6</f>
        <v>109.6</v>
      </c>
      <c r="BA18" s="176">
        <v>137</v>
      </c>
      <c r="BB18" s="176">
        <v>151.19999999999999</v>
      </c>
      <c r="BC18" s="176">
        <v>566.70000000000005</v>
      </c>
      <c r="BD18" s="176">
        <v>134.6</v>
      </c>
      <c r="BE18" s="176">
        <v>159.4</v>
      </c>
      <c r="BF18" s="176">
        <v>114.2</v>
      </c>
      <c r="BG18" s="176">
        <v>114.8</v>
      </c>
      <c r="BH18" s="176">
        <v>96.9</v>
      </c>
      <c r="BI18" s="176">
        <v>95.5</v>
      </c>
      <c r="BJ18" s="176">
        <v>89.2</v>
      </c>
      <c r="BK18" s="176">
        <f>7.9+208</f>
        <v>215.9</v>
      </c>
      <c r="BL18" s="236">
        <f t="shared" si="29"/>
        <v>1985.0000000000002</v>
      </c>
      <c r="BM18" s="70">
        <f t="shared" si="10"/>
        <v>-5.7999999999999972</v>
      </c>
      <c r="BN18" s="70">
        <f t="shared" si="11"/>
        <v>379.50000000000023</v>
      </c>
      <c r="BO18" s="70">
        <f t="shared" si="30"/>
        <v>902.00000000000023</v>
      </c>
      <c r="BP18" s="66">
        <f>BL18/AE18*100</f>
        <v>141.39183702542917</v>
      </c>
      <c r="BQ18" s="102">
        <f t="shared" si="1"/>
        <v>581.10000000000014</v>
      </c>
      <c r="BR18" s="186">
        <f t="shared" si="17"/>
        <v>103.04194352159467</v>
      </c>
      <c r="BS18" s="186">
        <f t="shared" si="2"/>
        <v>58.600000000000136</v>
      </c>
      <c r="BT18" s="186">
        <f t="shared" si="13"/>
        <v>194.34110045036226</v>
      </c>
      <c r="BU18" s="186">
        <f t="shared" si="14"/>
        <v>963.60000000000014</v>
      </c>
      <c r="BV18" s="176">
        <v>114</v>
      </c>
      <c r="BW18" s="176">
        <v>114</v>
      </c>
      <c r="BX18" s="176">
        <v>114</v>
      </c>
      <c r="BY18" s="296">
        <f t="shared" si="15"/>
        <v>2213</v>
      </c>
    </row>
    <row r="19" spans="1:80" s="14" customFormat="1" ht="34.5" customHeight="1" outlineLevel="2" x14ac:dyDescent="0.3">
      <c r="A19" s="5" t="s">
        <v>24</v>
      </c>
      <c r="B19" s="194" t="s">
        <v>25</v>
      </c>
      <c r="C19" s="137"/>
      <c r="D19" s="36">
        <v>23.7</v>
      </c>
      <c r="E19" s="66">
        <v>46.2</v>
      </c>
      <c r="F19" s="98">
        <v>458.4</v>
      </c>
      <c r="G19" s="66">
        <v>0.1</v>
      </c>
      <c r="H19" s="67"/>
      <c r="I19" s="66"/>
      <c r="J19" s="67"/>
      <c r="K19" s="66"/>
      <c r="L19" s="67">
        <f t="shared" si="3"/>
        <v>0.1</v>
      </c>
      <c r="M19" s="176" t="e">
        <f>L19+#REF!</f>
        <v>#REF!</v>
      </c>
      <c r="N19" s="219">
        <f t="shared" si="25"/>
        <v>458.3</v>
      </c>
      <c r="O19" s="85"/>
      <c r="P19" s="35">
        <v>114.2</v>
      </c>
      <c r="Q19" s="35">
        <v>180.6</v>
      </c>
      <c r="R19" s="87">
        <f t="shared" si="0"/>
        <v>294.8</v>
      </c>
      <c r="S19" s="85">
        <v>45</v>
      </c>
      <c r="T19" s="35">
        <v>26.5</v>
      </c>
      <c r="U19" s="35">
        <v>44.5</v>
      </c>
      <c r="V19" s="87">
        <f>S19+T19+U19</f>
        <v>116</v>
      </c>
      <c r="W19" s="85">
        <v>0.5</v>
      </c>
      <c r="X19" s="35">
        <v>1</v>
      </c>
      <c r="Y19" s="35"/>
      <c r="Z19" s="87">
        <f>W19+X19+Y19</f>
        <v>1.5</v>
      </c>
      <c r="AA19" s="77">
        <v>45.5</v>
      </c>
      <c r="AB19" s="35">
        <v>0.4</v>
      </c>
      <c r="AC19" s="35">
        <v>0.1</v>
      </c>
      <c r="AD19" s="176">
        <f t="shared" si="7"/>
        <v>457.8</v>
      </c>
      <c r="AE19" s="176">
        <v>353.7</v>
      </c>
      <c r="AF19" s="176">
        <v>1532.1</v>
      </c>
      <c r="AG19" s="176">
        <v>1532.1</v>
      </c>
      <c r="AH19" s="176">
        <f t="shared" si="8"/>
        <v>295</v>
      </c>
      <c r="AI19" s="176"/>
      <c r="AJ19" s="176">
        <v>20</v>
      </c>
      <c r="AK19" s="176">
        <v>65</v>
      </c>
      <c r="AL19" s="176"/>
      <c r="AM19" s="176">
        <v>20</v>
      </c>
      <c r="AN19" s="176">
        <v>65</v>
      </c>
      <c r="AO19" s="176"/>
      <c r="AP19" s="176">
        <v>20</v>
      </c>
      <c r="AQ19" s="176">
        <v>65</v>
      </c>
      <c r="AR19" s="176">
        <v>20</v>
      </c>
      <c r="AS19" s="176">
        <v>20</v>
      </c>
      <c r="AT19" s="176">
        <v>58.7</v>
      </c>
      <c r="AU19" s="176"/>
      <c r="AV19" s="176"/>
      <c r="AW19" s="176"/>
      <c r="AX19" s="176"/>
      <c r="AY19" s="176"/>
      <c r="AZ19" s="176"/>
      <c r="BA19" s="176">
        <v>12.5</v>
      </c>
      <c r="BB19" s="176">
        <f>524+224.3</f>
        <v>748.3</v>
      </c>
      <c r="BC19" s="176">
        <f>0.7+337.5</f>
        <v>338.2</v>
      </c>
      <c r="BD19" s="176">
        <v>0</v>
      </c>
      <c r="BE19" s="176">
        <v>0.8</v>
      </c>
      <c r="BF19" s="176">
        <f>0.4+57+158.9</f>
        <v>216.3</v>
      </c>
      <c r="BG19" s="176"/>
      <c r="BH19" s="176"/>
      <c r="BI19" s="176">
        <v>216.3</v>
      </c>
      <c r="BJ19" s="176">
        <v>1.3</v>
      </c>
      <c r="BK19" s="176">
        <v>0.1</v>
      </c>
      <c r="BL19" s="236">
        <f t="shared" si="29"/>
        <v>1533.7999999999997</v>
      </c>
      <c r="BM19" s="70">
        <f t="shared" si="10"/>
        <v>-18.7</v>
      </c>
      <c r="BN19" s="70">
        <f t="shared" si="11"/>
        <v>1.6999999999998181</v>
      </c>
      <c r="BO19" s="70">
        <f t="shared" si="30"/>
        <v>1238.7999999999997</v>
      </c>
      <c r="BP19" s="66">
        <f>BL19/AE19*100</f>
        <v>433.64433135425492</v>
      </c>
      <c r="BQ19" s="102">
        <f t="shared" si="1"/>
        <v>1180.0999999999997</v>
      </c>
      <c r="BR19" s="186">
        <f t="shared" si="17"/>
        <v>100.11095881469876</v>
      </c>
      <c r="BS19" s="186">
        <f t="shared" si="2"/>
        <v>1.6999999999998181</v>
      </c>
      <c r="BT19" s="186">
        <f t="shared" si="13"/>
        <v>335.03713411970284</v>
      </c>
      <c r="BU19" s="186">
        <f t="shared" si="14"/>
        <v>1075.9999999999998</v>
      </c>
      <c r="BV19" s="176">
        <v>216</v>
      </c>
      <c r="BW19" s="176"/>
      <c r="BX19" s="176"/>
      <c r="BY19" s="296">
        <f t="shared" si="15"/>
        <v>1533.7999999999997</v>
      </c>
    </row>
    <row r="20" spans="1:80" s="14" customFormat="1" ht="37.5" customHeight="1" outlineLevel="2" x14ac:dyDescent="0.3">
      <c r="A20" s="5" t="s">
        <v>26</v>
      </c>
      <c r="B20" s="194" t="s">
        <v>231</v>
      </c>
      <c r="C20" s="137"/>
      <c r="D20" s="36">
        <v>379.5</v>
      </c>
      <c r="E20" s="66">
        <v>382.4</v>
      </c>
      <c r="F20" s="98">
        <v>389.8</v>
      </c>
      <c r="G20" s="66"/>
      <c r="H20" s="67">
        <v>72.900000000000006</v>
      </c>
      <c r="I20" s="66"/>
      <c r="J20" s="67">
        <f>13.7+20.5</f>
        <v>34.200000000000003</v>
      </c>
      <c r="K20" s="66"/>
      <c r="L20" s="67">
        <f t="shared" si="3"/>
        <v>107.10000000000001</v>
      </c>
      <c r="M20" s="176" t="e">
        <f>L20+#REF!</f>
        <v>#REF!</v>
      </c>
      <c r="N20" s="219">
        <f t="shared" si="25"/>
        <v>424.1</v>
      </c>
      <c r="O20" s="85">
        <v>47.3</v>
      </c>
      <c r="P20" s="35">
        <v>0.5</v>
      </c>
      <c r="Q20" s="35"/>
      <c r="R20" s="87">
        <f t="shared" si="0"/>
        <v>47.8</v>
      </c>
      <c r="S20" s="85">
        <v>43.3</v>
      </c>
      <c r="T20" s="35">
        <v>73.099999999999994</v>
      </c>
      <c r="U20" s="35"/>
      <c r="V20" s="87">
        <f t="shared" ref="V20" si="31">S20+T20+U20</f>
        <v>116.39999999999999</v>
      </c>
      <c r="W20" s="85">
        <v>3.9</v>
      </c>
      <c r="X20" s="35">
        <v>14.6</v>
      </c>
      <c r="Y20" s="35">
        <v>27.6</v>
      </c>
      <c r="Z20" s="87">
        <f t="shared" ref="Z20:Z22" si="32">W20+X20+Y20</f>
        <v>46.1</v>
      </c>
      <c r="AA20" s="77">
        <v>1.6</v>
      </c>
      <c r="AB20" s="35">
        <v>105.1</v>
      </c>
      <c r="AC20" s="35">
        <v>107.1</v>
      </c>
      <c r="AD20" s="176">
        <f t="shared" si="7"/>
        <v>211.89999999999998</v>
      </c>
      <c r="AE20" s="176">
        <v>416.5</v>
      </c>
      <c r="AF20" s="176">
        <v>416.5</v>
      </c>
      <c r="AG20" s="176">
        <f t="shared" si="18"/>
        <v>170</v>
      </c>
      <c r="AH20" s="176">
        <f t="shared" si="8"/>
        <v>170</v>
      </c>
      <c r="AI20" s="176"/>
      <c r="AJ20" s="176"/>
      <c r="AK20" s="176">
        <v>30</v>
      </c>
      <c r="AL20" s="176"/>
      <c r="AM20" s="176"/>
      <c r="AN20" s="176">
        <v>50</v>
      </c>
      <c r="AO20" s="176"/>
      <c r="AP20" s="176"/>
      <c r="AQ20" s="176">
        <v>40</v>
      </c>
      <c r="AR20" s="176">
        <v>50</v>
      </c>
      <c r="AS20" s="176"/>
      <c r="AT20" s="176">
        <v>271.5</v>
      </c>
      <c r="AU20" s="176"/>
      <c r="AV20" s="176"/>
      <c r="AW20" s="176"/>
      <c r="AX20" s="176"/>
      <c r="AY20" s="176"/>
      <c r="AZ20" s="176">
        <v>0</v>
      </c>
      <c r="BA20" s="176">
        <f>5.1+4.8</f>
        <v>9.8999999999999986</v>
      </c>
      <c r="BB20" s="176"/>
      <c r="BC20" s="176">
        <v>81.099999999999994</v>
      </c>
      <c r="BD20" s="176">
        <v>6.1</v>
      </c>
      <c r="BE20" s="176">
        <v>43.5</v>
      </c>
      <c r="BF20" s="176">
        <v>4.7</v>
      </c>
      <c r="BG20" s="176">
        <v>43.1</v>
      </c>
      <c r="BH20" s="176"/>
      <c r="BI20" s="176"/>
      <c r="BJ20" s="176">
        <v>109.1</v>
      </c>
      <c r="BK20" s="176">
        <f>45.1+0.7+57.1+20.4</f>
        <v>123.30000000000001</v>
      </c>
      <c r="BL20" s="236">
        <f t="shared" si="29"/>
        <v>420.8</v>
      </c>
      <c r="BM20" s="70">
        <f t="shared" si="10"/>
        <v>109.1</v>
      </c>
      <c r="BN20" s="70">
        <f t="shared" si="11"/>
        <v>250.8</v>
      </c>
      <c r="BO20" s="70">
        <f t="shared" si="30"/>
        <v>250.8</v>
      </c>
      <c r="BP20" s="66">
        <f>BL20/AE20*100</f>
        <v>101.03241296518608</v>
      </c>
      <c r="BQ20" s="102">
        <f t="shared" si="1"/>
        <v>4.3000000000000114</v>
      </c>
      <c r="BR20" s="186">
        <f t="shared" si="17"/>
        <v>101.03241296518608</v>
      </c>
      <c r="BS20" s="186">
        <f t="shared" si="2"/>
        <v>4.3000000000000114</v>
      </c>
      <c r="BT20" s="186">
        <f t="shared" si="13"/>
        <v>198.58423784804157</v>
      </c>
      <c r="BU20" s="186">
        <f t="shared" si="14"/>
        <v>208.90000000000003</v>
      </c>
      <c r="BV20" s="176"/>
      <c r="BW20" s="176">
        <f>228.1-90</f>
        <v>138.1</v>
      </c>
      <c r="BX20" s="176">
        <v>90</v>
      </c>
      <c r="BY20" s="296">
        <f t="shared" si="15"/>
        <v>648.9</v>
      </c>
    </row>
    <row r="21" spans="1:80" s="14" customFormat="1" ht="49.5" customHeight="1" outlineLevel="2" x14ac:dyDescent="0.3">
      <c r="A21" s="5"/>
      <c r="B21" s="194" t="s">
        <v>413</v>
      </c>
      <c r="C21" s="137"/>
      <c r="D21" s="36">
        <v>4806.3</v>
      </c>
      <c r="E21" s="66"/>
      <c r="F21" s="98">
        <f>1147.4-991.4</f>
        <v>156.00000000000011</v>
      </c>
      <c r="G21" s="66"/>
      <c r="H21" s="67"/>
      <c r="I21" s="66"/>
      <c r="J21" s="67">
        <v>-991.4</v>
      </c>
      <c r="K21" s="66"/>
      <c r="L21" s="119">
        <f t="shared" si="3"/>
        <v>-991.4</v>
      </c>
      <c r="M21" s="176" t="e">
        <f>L21+#REF!</f>
        <v>#REF!</v>
      </c>
      <c r="N21" s="219">
        <f t="shared" si="25"/>
        <v>155.99999999999989</v>
      </c>
      <c r="O21" s="85">
        <v>34.9</v>
      </c>
      <c r="P21" s="35"/>
      <c r="Q21" s="35">
        <v>8</v>
      </c>
      <c r="R21" s="87">
        <f t="shared" si="0"/>
        <v>42.9</v>
      </c>
      <c r="S21" s="85"/>
      <c r="T21" s="35"/>
      <c r="U21" s="35">
        <v>27.2</v>
      </c>
      <c r="V21" s="87"/>
      <c r="W21" s="85">
        <v>94</v>
      </c>
      <c r="X21" s="35"/>
      <c r="Y21" s="35">
        <v>983.3</v>
      </c>
      <c r="Z21" s="87">
        <f t="shared" si="32"/>
        <v>1077.3</v>
      </c>
      <c r="AA21" s="77"/>
      <c r="AB21" s="35"/>
      <c r="AC21" s="35">
        <v>-991.4</v>
      </c>
      <c r="AD21" s="176">
        <v>1147.4000000000001</v>
      </c>
      <c r="AE21" s="176"/>
      <c r="AF21" s="176">
        <v>1495.5</v>
      </c>
      <c r="AG21" s="176">
        <v>1495.5</v>
      </c>
      <c r="AH21" s="176"/>
      <c r="AI21" s="176"/>
      <c r="AJ21" s="176"/>
      <c r="AK21" s="176">
        <v>11.8</v>
      </c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>
        <f t="shared" si="28"/>
        <v>0</v>
      </c>
      <c r="BA21" s="176"/>
      <c r="BB21" s="176">
        <v>11.8</v>
      </c>
      <c r="BC21" s="176"/>
      <c r="BD21" s="176"/>
      <c r="BE21" s="176"/>
      <c r="BF21" s="176">
        <v>451.5</v>
      </c>
      <c r="BG21" s="176"/>
      <c r="BH21" s="176">
        <f>1032.9-0.7</f>
        <v>1032.2</v>
      </c>
      <c r="BI21" s="176"/>
      <c r="BJ21" s="176"/>
      <c r="BK21" s="176"/>
      <c r="BL21" s="236">
        <f t="shared" si="29"/>
        <v>1495.5</v>
      </c>
      <c r="BM21" s="70">
        <f t="shared" si="10"/>
        <v>0</v>
      </c>
      <c r="BN21" s="70">
        <f t="shared" si="11"/>
        <v>0</v>
      </c>
      <c r="BO21" s="70">
        <f t="shared" si="30"/>
        <v>1495.5</v>
      </c>
      <c r="BP21" s="66"/>
      <c r="BQ21" s="102">
        <f t="shared" si="1"/>
        <v>1495.5</v>
      </c>
      <c r="BR21" s="186">
        <f t="shared" si="17"/>
        <v>100</v>
      </c>
      <c r="BS21" s="186">
        <f t="shared" si="2"/>
        <v>0</v>
      </c>
      <c r="BT21" s="186">
        <f t="shared" si="13"/>
        <v>130.33815583057347</v>
      </c>
      <c r="BU21" s="186">
        <f t="shared" si="14"/>
        <v>348.09999999999991</v>
      </c>
      <c r="BV21" s="176"/>
      <c r="BW21" s="176"/>
      <c r="BX21" s="176"/>
      <c r="BY21" s="296">
        <f t="shared" si="15"/>
        <v>1495.5</v>
      </c>
    </row>
    <row r="22" spans="1:80" s="14" customFormat="1" ht="31.5" customHeight="1" outlineLevel="2" x14ac:dyDescent="0.3">
      <c r="A22" s="5"/>
      <c r="B22" s="194" t="s">
        <v>369</v>
      </c>
      <c r="C22" s="137"/>
      <c r="D22" s="36">
        <v>6</v>
      </c>
      <c r="E22" s="66"/>
      <c r="F22" s="98">
        <f>92.9+400+20.3</f>
        <v>513.19999999999993</v>
      </c>
      <c r="G22" s="66">
        <v>400</v>
      </c>
      <c r="H22" s="67">
        <v>6.2</v>
      </c>
      <c r="I22" s="66"/>
      <c r="J22" s="67"/>
      <c r="K22" s="66"/>
      <c r="L22" s="119">
        <f t="shared" si="3"/>
        <v>406.2</v>
      </c>
      <c r="M22" s="176" t="e">
        <f>L22+#REF!</f>
        <v>#REF!</v>
      </c>
      <c r="N22" s="219">
        <f t="shared" si="25"/>
        <v>513.1</v>
      </c>
      <c r="O22" s="85"/>
      <c r="P22" s="35"/>
      <c r="Q22" s="35">
        <v>4.9000000000000004</v>
      </c>
      <c r="R22" s="87">
        <f t="shared" si="0"/>
        <v>4.9000000000000004</v>
      </c>
      <c r="S22" s="85">
        <v>73.5</v>
      </c>
      <c r="T22" s="35"/>
      <c r="U22" s="35"/>
      <c r="V22" s="87"/>
      <c r="W22" s="85">
        <v>1</v>
      </c>
      <c r="X22" s="35">
        <v>4.5999999999999996</v>
      </c>
      <c r="Y22" s="35">
        <v>8.9</v>
      </c>
      <c r="Z22" s="87">
        <f t="shared" si="32"/>
        <v>14.5</v>
      </c>
      <c r="AA22" s="77">
        <v>6.2</v>
      </c>
      <c r="AB22" s="35">
        <v>7.8</v>
      </c>
      <c r="AC22" s="35">
        <v>406.2</v>
      </c>
      <c r="AD22" s="176">
        <v>99.1</v>
      </c>
      <c r="AE22" s="176">
        <v>25</v>
      </c>
      <c r="AF22" s="176">
        <v>44.5</v>
      </c>
      <c r="AG22" s="176">
        <v>44.5</v>
      </c>
      <c r="AH22" s="176">
        <f t="shared" si="8"/>
        <v>0</v>
      </c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>
        <v>6.9</v>
      </c>
      <c r="BA22" s="176">
        <v>6.2</v>
      </c>
      <c r="BB22" s="176">
        <v>6.4</v>
      </c>
      <c r="BC22" s="176">
        <v>8.3000000000000007</v>
      </c>
      <c r="BD22" s="176">
        <v>13.3</v>
      </c>
      <c r="BE22" s="176"/>
      <c r="BF22" s="176">
        <v>2.6</v>
      </c>
      <c r="BG22" s="176">
        <v>0.2</v>
      </c>
      <c r="BH22" s="176">
        <v>0.6</v>
      </c>
      <c r="BI22" s="176">
        <v>7.9</v>
      </c>
      <c r="BJ22" s="176">
        <v>0.6</v>
      </c>
      <c r="BK22" s="176">
        <v>0.1</v>
      </c>
      <c r="BL22" s="236">
        <f t="shared" si="29"/>
        <v>53.100000000000009</v>
      </c>
      <c r="BM22" s="70">
        <f t="shared" si="10"/>
        <v>0.6</v>
      </c>
      <c r="BN22" s="70">
        <f t="shared" si="11"/>
        <v>8.6000000000000085</v>
      </c>
      <c r="BO22" s="70">
        <f t="shared" si="30"/>
        <v>53.100000000000009</v>
      </c>
      <c r="BP22" s="66">
        <f>BL22/AE22*100</f>
        <v>212.40000000000006</v>
      </c>
      <c r="BQ22" s="102">
        <f t="shared" si="1"/>
        <v>28.100000000000009</v>
      </c>
      <c r="BR22" s="186">
        <f t="shared" si="17"/>
        <v>119.32584269662922</v>
      </c>
      <c r="BS22" s="186">
        <f t="shared" si="2"/>
        <v>8.6000000000000085</v>
      </c>
      <c r="BT22" s="186">
        <f t="shared" si="13"/>
        <v>53.582240161453086</v>
      </c>
      <c r="BU22" s="186">
        <f t="shared" si="14"/>
        <v>-45.999999999999986</v>
      </c>
      <c r="BV22" s="176"/>
      <c r="BW22" s="176">
        <v>0.5</v>
      </c>
      <c r="BX22" s="176"/>
      <c r="BY22" s="296">
        <f t="shared" si="15"/>
        <v>53.600000000000009</v>
      </c>
    </row>
    <row r="23" spans="1:80" s="14" customFormat="1" ht="24" customHeight="1" outlineLevel="2" x14ac:dyDescent="0.3">
      <c r="A23" s="5" t="s">
        <v>27</v>
      </c>
      <c r="B23" s="194" t="s">
        <v>370</v>
      </c>
      <c r="C23" s="137"/>
      <c r="D23" s="36">
        <v>2685.7</v>
      </c>
      <c r="E23" s="66">
        <v>2500</v>
      </c>
      <c r="F23" s="98">
        <v>7199.5</v>
      </c>
      <c r="G23" s="66">
        <v>254.1</v>
      </c>
      <c r="H23" s="67"/>
      <c r="I23" s="66"/>
      <c r="J23" s="67"/>
      <c r="K23" s="66"/>
      <c r="L23" s="67">
        <f t="shared" si="3"/>
        <v>254.1</v>
      </c>
      <c r="M23" s="176" t="e">
        <f>L23+#REF!</f>
        <v>#REF!</v>
      </c>
      <c r="N23" s="219">
        <f t="shared" si="25"/>
        <v>7199.5000000000009</v>
      </c>
      <c r="O23" s="85">
        <v>1475.7</v>
      </c>
      <c r="P23" s="35">
        <v>180.2</v>
      </c>
      <c r="Q23" s="35">
        <v>170.4</v>
      </c>
      <c r="R23" s="87">
        <f t="shared" si="0"/>
        <v>1826.3000000000002</v>
      </c>
      <c r="S23" s="85">
        <v>16</v>
      </c>
      <c r="T23" s="35">
        <v>1275.5</v>
      </c>
      <c r="U23" s="35"/>
      <c r="V23" s="87">
        <f>S23+T23+U23</f>
        <v>1291.5</v>
      </c>
      <c r="W23" s="85">
        <v>401.5</v>
      </c>
      <c r="X23" s="35">
        <v>1151.8</v>
      </c>
      <c r="Y23" s="35">
        <v>2096.4</v>
      </c>
      <c r="Z23" s="87">
        <f>W23+X23+Y23</f>
        <v>3649.7</v>
      </c>
      <c r="AA23" s="77">
        <v>8.1</v>
      </c>
      <c r="AB23" s="35">
        <v>169.8</v>
      </c>
      <c r="AC23" s="35">
        <v>254.1</v>
      </c>
      <c r="AD23" s="176">
        <f t="shared" si="7"/>
        <v>6775.6</v>
      </c>
      <c r="AE23" s="176">
        <v>3176.5</v>
      </c>
      <c r="AF23" s="176">
        <v>5030.6000000000004</v>
      </c>
      <c r="AG23" s="176">
        <v>5030.6000000000004</v>
      </c>
      <c r="AH23" s="176">
        <f t="shared" si="8"/>
        <v>2365</v>
      </c>
      <c r="AI23" s="176">
        <v>215</v>
      </c>
      <c r="AJ23" s="176">
        <v>215</v>
      </c>
      <c r="AK23" s="176">
        <v>215</v>
      </c>
      <c r="AL23" s="176">
        <v>215</v>
      </c>
      <c r="AM23" s="176">
        <v>215</v>
      </c>
      <c r="AN23" s="176">
        <v>215</v>
      </c>
      <c r="AO23" s="176">
        <v>215</v>
      </c>
      <c r="AP23" s="176">
        <v>215</v>
      </c>
      <c r="AQ23" s="176">
        <v>215</v>
      </c>
      <c r="AR23" s="176">
        <v>215</v>
      </c>
      <c r="AS23" s="176">
        <v>215</v>
      </c>
      <c r="AT23" s="176">
        <v>811.5</v>
      </c>
      <c r="AU23" s="176"/>
      <c r="AV23" s="176"/>
      <c r="AW23" s="176"/>
      <c r="AX23" s="176"/>
      <c r="AY23" s="176"/>
      <c r="AZ23" s="176">
        <v>292.89999999999998</v>
      </c>
      <c r="BA23" s="176">
        <v>373.4</v>
      </c>
      <c r="BB23" s="176"/>
      <c r="BC23" s="176">
        <f>32.3+825</f>
        <v>857.3</v>
      </c>
      <c r="BD23" s="176">
        <v>1398.1</v>
      </c>
      <c r="BE23" s="176">
        <v>183.1</v>
      </c>
      <c r="BF23" s="176">
        <f>221+706.5</f>
        <v>927.5</v>
      </c>
      <c r="BG23" s="176">
        <v>48.4</v>
      </c>
      <c r="BH23" s="176">
        <v>589.4</v>
      </c>
      <c r="BI23" s="176">
        <f>2.1+389.6+195.3</f>
        <v>587</v>
      </c>
      <c r="BJ23" s="176">
        <v>308.5</v>
      </c>
      <c r="BK23" s="176">
        <v>419</v>
      </c>
      <c r="BL23" s="236">
        <f t="shared" si="29"/>
        <v>5984.5999999999995</v>
      </c>
      <c r="BM23" s="70">
        <f t="shared" si="10"/>
        <v>93.5</v>
      </c>
      <c r="BN23" s="70">
        <f t="shared" si="11"/>
        <v>953.99999999999909</v>
      </c>
      <c r="BO23" s="70">
        <f t="shared" si="30"/>
        <v>3619.5999999999995</v>
      </c>
      <c r="BP23" s="66">
        <f>BL23/AE23*100</f>
        <v>188.40232960805915</v>
      </c>
      <c r="BQ23" s="102">
        <f t="shared" si="1"/>
        <v>2808.0999999999995</v>
      </c>
      <c r="BR23" s="186">
        <f t="shared" si="17"/>
        <v>118.9639406830199</v>
      </c>
      <c r="BS23" s="186">
        <f t="shared" si="2"/>
        <v>953.99999999999909</v>
      </c>
      <c r="BT23" s="186">
        <f t="shared" si="13"/>
        <v>88.325757128519967</v>
      </c>
      <c r="BU23" s="186">
        <f t="shared" si="14"/>
        <v>-791.00000000000091</v>
      </c>
      <c r="BV23" s="176">
        <v>360.5</v>
      </c>
      <c r="BW23" s="176"/>
      <c r="BX23" s="176"/>
      <c r="BY23" s="296">
        <f t="shared" si="15"/>
        <v>5984.5999999999995</v>
      </c>
    </row>
    <row r="24" spans="1:80" s="14" customFormat="1" ht="33.75" customHeight="1" outlineLevel="2" x14ac:dyDescent="0.3">
      <c r="A24" s="5" t="s">
        <v>28</v>
      </c>
      <c r="B24" s="194" t="s">
        <v>424</v>
      </c>
      <c r="C24" s="137"/>
      <c r="D24" s="36">
        <v>1593</v>
      </c>
      <c r="E24" s="66">
        <v>800</v>
      </c>
      <c r="F24" s="98">
        <f t="shared" ref="F24:F86" si="33">E24</f>
        <v>800</v>
      </c>
      <c r="G24" s="66"/>
      <c r="H24" s="67"/>
      <c r="I24" s="66"/>
      <c r="J24" s="67"/>
      <c r="K24" s="66"/>
      <c r="L24" s="67">
        <f t="shared" si="3"/>
        <v>0</v>
      </c>
      <c r="M24" s="176" t="e">
        <f>L24+#REF!</f>
        <v>#REF!</v>
      </c>
      <c r="N24" s="219">
        <f t="shared" si="25"/>
        <v>654.79999999999995</v>
      </c>
      <c r="O24" s="85">
        <v>525.1</v>
      </c>
      <c r="P24" s="35"/>
      <c r="Q24" s="35"/>
      <c r="R24" s="87">
        <f t="shared" si="0"/>
        <v>525.1</v>
      </c>
      <c r="S24" s="85"/>
      <c r="T24" s="35"/>
      <c r="U24" s="35"/>
      <c r="V24" s="87">
        <f t="shared" ref="V24:V29" si="34">S24+T24+U24</f>
        <v>0</v>
      </c>
      <c r="W24" s="85"/>
      <c r="X24" s="35"/>
      <c r="Y24" s="35"/>
      <c r="Z24" s="87">
        <f t="shared" ref="Z24:Z29" si="35">W24+X24+Y24</f>
        <v>0</v>
      </c>
      <c r="AA24" s="77">
        <v>129.69999999999999</v>
      </c>
      <c r="AB24" s="35"/>
      <c r="AC24" s="35"/>
      <c r="AD24" s="176">
        <f t="shared" si="7"/>
        <v>654.79999999999995</v>
      </c>
      <c r="AE24" s="176">
        <v>800</v>
      </c>
      <c r="AF24" s="176">
        <v>938.6</v>
      </c>
      <c r="AG24" s="176">
        <v>938.6</v>
      </c>
      <c r="AH24" s="176">
        <f t="shared" si="8"/>
        <v>0</v>
      </c>
      <c r="AI24" s="176">
        <v>0</v>
      </c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>
        <v>800</v>
      </c>
      <c r="AU24" s="176"/>
      <c r="AV24" s="176"/>
      <c r="AW24" s="176"/>
      <c r="AX24" s="176"/>
      <c r="AY24" s="176"/>
      <c r="AZ24" s="176"/>
      <c r="BA24" s="176"/>
      <c r="BB24" s="176"/>
      <c r="BC24" s="176"/>
      <c r="BD24" s="176">
        <v>0</v>
      </c>
      <c r="BE24" s="176">
        <f>1.6+2.4</f>
        <v>4</v>
      </c>
      <c r="BF24" s="176">
        <f>232.6+50.4</f>
        <v>283</v>
      </c>
      <c r="BG24" s="176">
        <v>651.6</v>
      </c>
      <c r="BH24" s="176"/>
      <c r="BI24" s="176">
        <v>0</v>
      </c>
      <c r="BJ24" s="176"/>
      <c r="BK24" s="176"/>
      <c r="BL24" s="236">
        <f t="shared" si="29"/>
        <v>938.6</v>
      </c>
      <c r="BM24" s="70">
        <f t="shared" si="10"/>
        <v>0</v>
      </c>
      <c r="BN24" s="70">
        <f t="shared" si="11"/>
        <v>0</v>
      </c>
      <c r="BO24" s="70">
        <f t="shared" si="30"/>
        <v>938.6</v>
      </c>
      <c r="BP24" s="66">
        <f>BL24/AE24*100</f>
        <v>117.32500000000002</v>
      </c>
      <c r="BQ24" s="102">
        <f t="shared" si="1"/>
        <v>138.60000000000002</v>
      </c>
      <c r="BR24" s="186">
        <f t="shared" si="17"/>
        <v>100</v>
      </c>
      <c r="BS24" s="186">
        <f t="shared" si="2"/>
        <v>0</v>
      </c>
      <c r="BT24" s="186">
        <f t="shared" si="13"/>
        <v>143.34147831398903</v>
      </c>
      <c r="BU24" s="186">
        <f t="shared" si="14"/>
        <v>283.80000000000007</v>
      </c>
      <c r="BV24" s="176"/>
      <c r="BW24" s="176"/>
      <c r="BX24" s="176"/>
      <c r="BY24" s="296">
        <f t="shared" si="15"/>
        <v>938.6</v>
      </c>
    </row>
    <row r="25" spans="1:80" s="14" customFormat="1" ht="16.5" customHeight="1" outlineLevel="1" x14ac:dyDescent="0.3">
      <c r="A25" s="5" t="s">
        <v>29</v>
      </c>
      <c r="B25" s="194" t="s">
        <v>109</v>
      </c>
      <c r="C25" s="137"/>
      <c r="D25" s="36">
        <v>883.1</v>
      </c>
      <c r="E25" s="66">
        <v>390.6</v>
      </c>
      <c r="F25" s="98">
        <v>510.7</v>
      </c>
      <c r="G25" s="66">
        <v>15.9</v>
      </c>
      <c r="H25" s="67">
        <v>2.5</v>
      </c>
      <c r="I25" s="66">
        <v>5.5</v>
      </c>
      <c r="J25" s="67">
        <f>4.7+3.6</f>
        <v>8.3000000000000007</v>
      </c>
      <c r="K25" s="66">
        <v>2.5</v>
      </c>
      <c r="L25" s="67">
        <f t="shared" si="3"/>
        <v>34.700000000000003</v>
      </c>
      <c r="M25" s="176" t="e">
        <f>L25+#REF!</f>
        <v>#REF!</v>
      </c>
      <c r="N25" s="219">
        <f t="shared" si="25"/>
        <v>527</v>
      </c>
      <c r="O25" s="85">
        <v>93.6</v>
      </c>
      <c r="P25" s="35">
        <v>44.5</v>
      </c>
      <c r="Q25" s="35">
        <v>48.1</v>
      </c>
      <c r="R25" s="87">
        <f t="shared" si="0"/>
        <v>186.2</v>
      </c>
      <c r="S25" s="85">
        <v>-48.9</v>
      </c>
      <c r="T25" s="35">
        <v>29.3</v>
      </c>
      <c r="U25" s="35">
        <v>33</v>
      </c>
      <c r="V25" s="87">
        <f t="shared" si="34"/>
        <v>13.400000000000002</v>
      </c>
      <c r="W25" s="85">
        <v>17.600000000000001</v>
      </c>
      <c r="X25" s="35">
        <v>82.5</v>
      </c>
      <c r="Y25" s="35">
        <v>84.9</v>
      </c>
      <c r="Z25" s="87">
        <f t="shared" si="35"/>
        <v>185</v>
      </c>
      <c r="AA25" s="77">
        <v>75.2</v>
      </c>
      <c r="AB25" s="35">
        <v>32.5</v>
      </c>
      <c r="AC25" s="35">
        <v>34.700000000000003</v>
      </c>
      <c r="AD25" s="176">
        <f t="shared" si="7"/>
        <v>459.8</v>
      </c>
      <c r="AE25" s="176">
        <v>346.2</v>
      </c>
      <c r="AF25" s="176">
        <v>1188.2</v>
      </c>
      <c r="AG25" s="176">
        <f>AH25+842</f>
        <v>1132</v>
      </c>
      <c r="AH25" s="176">
        <f t="shared" si="8"/>
        <v>290</v>
      </c>
      <c r="AI25" s="176">
        <v>20</v>
      </c>
      <c r="AJ25" s="176">
        <v>20</v>
      </c>
      <c r="AK25" s="176">
        <v>30</v>
      </c>
      <c r="AL25" s="176">
        <v>20</v>
      </c>
      <c r="AM25" s="176">
        <v>20</v>
      </c>
      <c r="AN25" s="176">
        <v>20</v>
      </c>
      <c r="AO25" s="176">
        <v>20</v>
      </c>
      <c r="AP25" s="176">
        <v>50</v>
      </c>
      <c r="AQ25" s="176">
        <v>50</v>
      </c>
      <c r="AR25" s="176">
        <v>20</v>
      </c>
      <c r="AS25" s="176">
        <v>20</v>
      </c>
      <c r="AT25" s="176">
        <v>56.2</v>
      </c>
      <c r="AU25" s="176"/>
      <c r="AV25" s="176"/>
      <c r="AW25" s="176"/>
      <c r="AX25" s="176"/>
      <c r="AY25" s="176"/>
      <c r="AZ25" s="176">
        <v>109.7</v>
      </c>
      <c r="BA25" s="176">
        <v>46.4</v>
      </c>
      <c r="BB25" s="176">
        <v>7.7</v>
      </c>
      <c r="BC25" s="176">
        <f>7.8+84.6</f>
        <v>92.399999999999991</v>
      </c>
      <c r="BD25" s="176">
        <v>69.099999999999994</v>
      </c>
      <c r="BE25" s="176">
        <f>13.6+16.5</f>
        <v>30.1</v>
      </c>
      <c r="BF25" s="176">
        <f>4.5+75.6+0.4+0.7</f>
        <v>81.2</v>
      </c>
      <c r="BG25" s="176">
        <v>298.5</v>
      </c>
      <c r="BH25" s="176">
        <v>303.10000000000002</v>
      </c>
      <c r="BI25" s="176">
        <v>83.9</v>
      </c>
      <c r="BJ25" s="176">
        <f>0.5+126.4+0.5</f>
        <v>127.4</v>
      </c>
      <c r="BK25" s="176">
        <f>217+0.7+0.6+5.3+0.2</f>
        <v>223.79999999999998</v>
      </c>
      <c r="BL25" s="236">
        <f t="shared" si="29"/>
        <v>1473.3</v>
      </c>
      <c r="BM25" s="70">
        <f t="shared" si="10"/>
        <v>107.4</v>
      </c>
      <c r="BN25" s="70">
        <f t="shared" si="11"/>
        <v>341.29999999999995</v>
      </c>
      <c r="BO25" s="70">
        <f>BL25-AH25</f>
        <v>1183.3</v>
      </c>
      <c r="BP25" s="66">
        <f>BL25/AE25*100</f>
        <v>425.56325823223568</v>
      </c>
      <c r="BQ25" s="102">
        <f t="shared" si="1"/>
        <v>1127.0999999999999</v>
      </c>
      <c r="BR25" s="186">
        <f t="shared" si="17"/>
        <v>123.99427705773438</v>
      </c>
      <c r="BS25" s="186">
        <f t="shared" si="2"/>
        <v>285.09999999999991</v>
      </c>
      <c r="BT25" s="186">
        <f t="shared" si="13"/>
        <v>320.42192257503262</v>
      </c>
      <c r="BU25" s="186">
        <f t="shared" si="14"/>
        <v>1013.5</v>
      </c>
      <c r="BV25" s="176">
        <v>50</v>
      </c>
      <c r="BW25" s="176">
        <v>60.1</v>
      </c>
      <c r="BX25" s="176">
        <v>60.1</v>
      </c>
      <c r="BY25" s="296">
        <f t="shared" si="15"/>
        <v>1593.4999999999998</v>
      </c>
    </row>
    <row r="26" spans="1:80" s="14" customFormat="1" ht="35.25" customHeight="1" outlineLevel="1" x14ac:dyDescent="0.3">
      <c r="A26" s="5"/>
      <c r="B26" s="194" t="s">
        <v>382</v>
      </c>
      <c r="C26" s="137"/>
      <c r="D26" s="36">
        <v>12</v>
      </c>
      <c r="E26" s="66"/>
      <c r="F26" s="98">
        <v>0</v>
      </c>
      <c r="G26" s="66">
        <v>90</v>
      </c>
      <c r="H26" s="67">
        <v>-90</v>
      </c>
      <c r="I26" s="66"/>
      <c r="J26" s="67"/>
      <c r="K26" s="66"/>
      <c r="L26" s="67">
        <f t="shared" si="3"/>
        <v>0</v>
      </c>
      <c r="M26" s="176" t="e">
        <f>L26+#REF!</f>
        <v>#REF!</v>
      </c>
      <c r="N26" s="219">
        <v>0.6</v>
      </c>
      <c r="O26" s="91"/>
      <c r="P26" s="35"/>
      <c r="Q26" s="48">
        <v>0.1</v>
      </c>
      <c r="R26" s="87">
        <f t="shared" si="0"/>
        <v>0.1</v>
      </c>
      <c r="S26" s="91"/>
      <c r="T26" s="48"/>
      <c r="U26" s="48"/>
      <c r="V26" s="87">
        <f t="shared" si="34"/>
        <v>0</v>
      </c>
      <c r="W26" s="91"/>
      <c r="X26" s="48"/>
      <c r="Y26" s="48"/>
      <c r="Z26" s="87">
        <f t="shared" si="35"/>
        <v>0</v>
      </c>
      <c r="AA26" s="81"/>
      <c r="AB26" s="48"/>
      <c r="AC26" s="35"/>
      <c r="AD26" s="176">
        <f t="shared" si="7"/>
        <v>0.1</v>
      </c>
      <c r="AE26" s="176"/>
      <c r="AF26" s="176"/>
      <c r="AG26" s="176">
        <f t="shared" si="18"/>
        <v>0</v>
      </c>
      <c r="AH26" s="176">
        <f t="shared" si="8"/>
        <v>0</v>
      </c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>
        <v>0</v>
      </c>
      <c r="BA26" s="176"/>
      <c r="BB26" s="176"/>
      <c r="BC26" s="176"/>
      <c r="BD26" s="176"/>
      <c r="BE26" s="176"/>
      <c r="BF26" s="176"/>
      <c r="BG26" s="176">
        <v>1066.0999999999999</v>
      </c>
      <c r="BH26" s="176">
        <v>-1066.0999999999999</v>
      </c>
      <c r="BI26" s="176"/>
      <c r="BJ26" s="176"/>
      <c r="BK26" s="176"/>
      <c r="BL26" s="236">
        <f t="shared" si="29"/>
        <v>0</v>
      </c>
      <c r="BM26" s="70">
        <f t="shared" si="10"/>
        <v>0</v>
      </c>
      <c r="BN26" s="70">
        <f t="shared" si="11"/>
        <v>0</v>
      </c>
      <c r="BO26" s="70">
        <f t="shared" si="30"/>
        <v>0</v>
      </c>
      <c r="BP26" s="66"/>
      <c r="BQ26" s="102">
        <f t="shared" si="1"/>
        <v>0</v>
      </c>
      <c r="BR26" s="186"/>
      <c r="BS26" s="186">
        <f t="shared" si="2"/>
        <v>0</v>
      </c>
      <c r="BT26" s="186">
        <f t="shared" si="13"/>
        <v>0</v>
      </c>
      <c r="BU26" s="186">
        <f t="shared" si="14"/>
        <v>-0.1</v>
      </c>
      <c r="BV26" s="176"/>
      <c r="BW26" s="176"/>
      <c r="BX26" s="176"/>
      <c r="BY26" s="296">
        <f t="shared" si="15"/>
        <v>0</v>
      </c>
    </row>
    <row r="27" spans="1:80" s="14" customFormat="1" ht="65.25" hidden="1" customHeight="1" outlineLevel="1" x14ac:dyDescent="0.3">
      <c r="A27" s="5"/>
      <c r="B27" s="197" t="s">
        <v>279</v>
      </c>
      <c r="C27" s="137"/>
      <c r="D27" s="99"/>
      <c r="E27" s="66"/>
      <c r="F27" s="98">
        <v>539</v>
      </c>
      <c r="G27" s="66"/>
      <c r="H27" s="67"/>
      <c r="I27" s="66"/>
      <c r="J27" s="67"/>
      <c r="K27" s="66"/>
      <c r="L27" s="67">
        <f t="shared" si="3"/>
        <v>0</v>
      </c>
      <c r="M27" s="176" t="e">
        <f>L27+#REF!</f>
        <v>#REF!</v>
      </c>
      <c r="N27" s="220">
        <v>539</v>
      </c>
      <c r="O27" s="91"/>
      <c r="P27" s="48"/>
      <c r="Q27" s="48"/>
      <c r="R27" s="87">
        <f t="shared" si="0"/>
        <v>0</v>
      </c>
      <c r="S27" s="91"/>
      <c r="T27" s="48"/>
      <c r="U27" s="48"/>
      <c r="V27" s="87">
        <f t="shared" si="34"/>
        <v>0</v>
      </c>
      <c r="W27" s="91"/>
      <c r="X27" s="48"/>
      <c r="Y27" s="48"/>
      <c r="Z27" s="87">
        <f t="shared" si="35"/>
        <v>0</v>
      </c>
      <c r="AA27" s="81"/>
      <c r="AB27" s="48">
        <v>0.5</v>
      </c>
      <c r="AC27" s="35"/>
      <c r="AD27" s="176">
        <f t="shared" si="7"/>
        <v>0</v>
      </c>
      <c r="AE27" s="176"/>
      <c r="AF27" s="176"/>
      <c r="AG27" s="176">
        <f t="shared" si="18"/>
        <v>0</v>
      </c>
      <c r="AH27" s="176">
        <f t="shared" si="8"/>
        <v>0</v>
      </c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>
        <f t="shared" si="28"/>
        <v>0</v>
      </c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236">
        <f t="shared" si="29"/>
        <v>0</v>
      </c>
      <c r="BM27" s="70">
        <f t="shared" si="10"/>
        <v>0</v>
      </c>
      <c r="BN27" s="70">
        <f t="shared" si="11"/>
        <v>0</v>
      </c>
      <c r="BO27" s="70">
        <f t="shared" si="30"/>
        <v>0</v>
      </c>
      <c r="BP27" s="66" t="e">
        <f>BL27/AE27*100</f>
        <v>#DIV/0!</v>
      </c>
      <c r="BQ27" s="102">
        <f t="shared" si="1"/>
        <v>0</v>
      </c>
      <c r="BR27" s="186" t="e">
        <f t="shared" ref="BR27:BR90" si="36">BL27/AF27*100</f>
        <v>#DIV/0!</v>
      </c>
      <c r="BS27" s="186">
        <f t="shared" si="2"/>
        <v>0</v>
      </c>
      <c r="BT27" s="186" t="e">
        <f t="shared" si="13"/>
        <v>#DIV/0!</v>
      </c>
      <c r="BU27" s="186">
        <f t="shared" si="14"/>
        <v>0</v>
      </c>
      <c r="BV27" s="176"/>
      <c r="BW27" s="176"/>
      <c r="BX27" s="176"/>
      <c r="BY27" s="296">
        <f t="shared" si="15"/>
        <v>0</v>
      </c>
    </row>
    <row r="28" spans="1:80" s="14" customFormat="1" ht="45.75" hidden="1" customHeight="1" outlineLevel="1" x14ac:dyDescent="0.3">
      <c r="A28" s="5"/>
      <c r="B28" s="197" t="s">
        <v>278</v>
      </c>
      <c r="C28" s="137"/>
      <c r="D28" s="99"/>
      <c r="E28" s="66"/>
      <c r="F28" s="98">
        <v>310</v>
      </c>
      <c r="G28" s="66"/>
      <c r="H28" s="67"/>
      <c r="I28" s="66"/>
      <c r="J28" s="67"/>
      <c r="K28" s="66"/>
      <c r="L28" s="67">
        <f t="shared" si="3"/>
        <v>0</v>
      </c>
      <c r="M28" s="176" t="e">
        <f>L28+#REF!</f>
        <v>#REF!</v>
      </c>
      <c r="N28" s="221">
        <v>310</v>
      </c>
      <c r="O28" s="51"/>
      <c r="P28" s="51"/>
      <c r="Q28" s="51"/>
      <c r="R28" s="87">
        <f t="shared" si="0"/>
        <v>0</v>
      </c>
      <c r="S28" s="51"/>
      <c r="T28" s="51"/>
      <c r="U28" s="51"/>
      <c r="V28" s="87">
        <f t="shared" si="34"/>
        <v>0</v>
      </c>
      <c r="W28" s="51"/>
      <c r="X28" s="51"/>
      <c r="Y28" s="51"/>
      <c r="Z28" s="87">
        <f t="shared" si="35"/>
        <v>0</v>
      </c>
      <c r="AA28" s="51"/>
      <c r="AB28" s="51"/>
      <c r="AC28" s="51"/>
      <c r="AD28" s="176">
        <f t="shared" si="7"/>
        <v>0</v>
      </c>
      <c r="AE28" s="176"/>
      <c r="AF28" s="176"/>
      <c r="AG28" s="176">
        <f t="shared" si="18"/>
        <v>0</v>
      </c>
      <c r="AH28" s="176">
        <f t="shared" si="8"/>
        <v>0</v>
      </c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>
        <f t="shared" si="28"/>
        <v>0</v>
      </c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236">
        <f t="shared" si="29"/>
        <v>0</v>
      </c>
      <c r="BM28" s="70">
        <f t="shared" si="10"/>
        <v>0</v>
      </c>
      <c r="BN28" s="70">
        <f t="shared" si="11"/>
        <v>0</v>
      </c>
      <c r="BO28" s="70">
        <f t="shared" si="30"/>
        <v>0</v>
      </c>
      <c r="BP28" s="66" t="e">
        <f>BL28/AE28*100</f>
        <v>#DIV/0!</v>
      </c>
      <c r="BQ28" s="102">
        <f t="shared" si="1"/>
        <v>0</v>
      </c>
      <c r="BR28" s="186" t="e">
        <f t="shared" si="36"/>
        <v>#DIV/0!</v>
      </c>
      <c r="BS28" s="186">
        <f t="shared" si="2"/>
        <v>0</v>
      </c>
      <c r="BT28" s="186" t="e">
        <f t="shared" si="13"/>
        <v>#DIV/0!</v>
      </c>
      <c r="BU28" s="186">
        <f t="shared" si="14"/>
        <v>0</v>
      </c>
      <c r="BV28" s="176"/>
      <c r="BW28" s="176"/>
      <c r="BX28" s="176"/>
      <c r="BY28" s="296">
        <f t="shared" si="15"/>
        <v>0</v>
      </c>
    </row>
    <row r="29" spans="1:80" s="14" customFormat="1" ht="27" customHeight="1" outlineLevel="1" x14ac:dyDescent="0.3">
      <c r="A29" s="5"/>
      <c r="B29" s="198" t="s">
        <v>381</v>
      </c>
      <c r="C29" s="137"/>
      <c r="D29" s="99"/>
      <c r="E29" s="66"/>
      <c r="F29" s="98">
        <v>331.2</v>
      </c>
      <c r="G29" s="66"/>
      <c r="H29" s="67"/>
      <c r="I29" s="66"/>
      <c r="J29" s="67"/>
      <c r="K29" s="66"/>
      <c r="L29" s="67">
        <f t="shared" si="3"/>
        <v>0</v>
      </c>
      <c r="M29" s="176" t="e">
        <f>L29+#REF!</f>
        <v>#REF!</v>
      </c>
      <c r="N29" s="221">
        <v>331.2</v>
      </c>
      <c r="O29" s="51"/>
      <c r="P29" s="51"/>
      <c r="Q29" s="51"/>
      <c r="R29" s="87">
        <f t="shared" si="0"/>
        <v>0</v>
      </c>
      <c r="S29" s="51"/>
      <c r="T29" s="51"/>
      <c r="U29" s="51"/>
      <c r="V29" s="87">
        <f t="shared" si="34"/>
        <v>0</v>
      </c>
      <c r="W29" s="51"/>
      <c r="X29" s="51"/>
      <c r="Y29" s="51"/>
      <c r="Z29" s="87">
        <f t="shared" si="35"/>
        <v>0</v>
      </c>
      <c r="AA29" s="51"/>
      <c r="AB29" s="51"/>
      <c r="AC29" s="51"/>
      <c r="AD29" s="176">
        <v>1184.7</v>
      </c>
      <c r="AE29" s="176"/>
      <c r="AF29" s="174">
        <v>900.1</v>
      </c>
      <c r="AG29" s="176">
        <v>900.1</v>
      </c>
      <c r="AH29" s="176"/>
      <c r="AI29" s="174"/>
      <c r="AJ29" s="174"/>
      <c r="AK29" s="174"/>
      <c r="AL29" s="174"/>
      <c r="AM29" s="174"/>
      <c r="AN29" s="174">
        <f>BE29</f>
        <v>707.9</v>
      </c>
      <c r="AO29" s="174">
        <v>192.2</v>
      </c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>
        <f t="shared" si="28"/>
        <v>0</v>
      </c>
      <c r="BA29" s="174"/>
      <c r="BB29" s="174"/>
      <c r="BC29" s="174"/>
      <c r="BD29" s="174"/>
      <c r="BE29" s="174">
        <v>707.9</v>
      </c>
      <c r="BF29" s="176">
        <v>192.2</v>
      </c>
      <c r="BG29" s="176"/>
      <c r="BH29" s="176"/>
      <c r="BI29" s="176"/>
      <c r="BJ29" s="176"/>
      <c r="BK29" s="176">
        <v>-1.4</v>
      </c>
      <c r="BL29" s="236">
        <f t="shared" si="29"/>
        <v>898.69999999999993</v>
      </c>
      <c r="BM29" s="70">
        <f t="shared" si="10"/>
        <v>0</v>
      </c>
      <c r="BN29" s="70">
        <f t="shared" si="11"/>
        <v>-1.4000000000000909</v>
      </c>
      <c r="BO29" s="70">
        <f t="shared" si="30"/>
        <v>898.69999999999993</v>
      </c>
      <c r="BP29" s="66"/>
      <c r="BQ29" s="102">
        <f t="shared" si="1"/>
        <v>898.69999999999993</v>
      </c>
      <c r="BR29" s="186">
        <f t="shared" si="36"/>
        <v>99.844461726474833</v>
      </c>
      <c r="BS29" s="186">
        <f t="shared" si="2"/>
        <v>-1.4000000000000909</v>
      </c>
      <c r="BT29" s="186">
        <f t="shared" si="13"/>
        <v>75.858867223769721</v>
      </c>
      <c r="BU29" s="186">
        <f t="shared" si="14"/>
        <v>-286.00000000000011</v>
      </c>
      <c r="BV29" s="176"/>
      <c r="BW29" s="176"/>
      <c r="BX29" s="176"/>
      <c r="BY29" s="296">
        <f t="shared" si="15"/>
        <v>898.69999999999993</v>
      </c>
    </row>
    <row r="30" spans="1:80" s="14" customFormat="1" ht="24.75" customHeight="1" outlineLevel="1" x14ac:dyDescent="0.3">
      <c r="A30" s="5"/>
      <c r="B30" s="164" t="s">
        <v>146</v>
      </c>
      <c r="C30" s="165"/>
      <c r="D30" s="105">
        <f t="shared" ref="D30:M30" si="37">SUM(D15:D29)</f>
        <v>15311.000000000002</v>
      </c>
      <c r="E30" s="105">
        <f t="shared" si="37"/>
        <v>9420.8000000000011</v>
      </c>
      <c r="F30" s="105">
        <f t="shared" si="37"/>
        <v>16311.600000000002</v>
      </c>
      <c r="G30" s="105">
        <f t="shared" si="37"/>
        <v>884.7</v>
      </c>
      <c r="H30" s="105">
        <f t="shared" si="37"/>
        <v>232.09999999999997</v>
      </c>
      <c r="I30" s="105">
        <f t="shared" si="37"/>
        <v>270.3</v>
      </c>
      <c r="J30" s="105">
        <f t="shared" si="37"/>
        <v>-922.7</v>
      </c>
      <c r="K30" s="105">
        <f t="shared" si="37"/>
        <v>53.5</v>
      </c>
      <c r="L30" s="105">
        <f t="shared" si="37"/>
        <v>517.9</v>
      </c>
      <c r="M30" s="174" t="e">
        <f t="shared" si="37"/>
        <v>#REF!</v>
      </c>
      <c r="N30" s="217">
        <f>SUM(N15:N29)</f>
        <v>16256.600000000002</v>
      </c>
      <c r="O30" s="217">
        <f t="shared" ref="O30:AE30" si="38">SUM(O15:O29)</f>
        <v>2677.2999999999997</v>
      </c>
      <c r="P30" s="217">
        <f t="shared" si="38"/>
        <v>826.09999999999991</v>
      </c>
      <c r="Q30" s="217">
        <f t="shared" si="38"/>
        <v>663</v>
      </c>
      <c r="R30" s="217">
        <f t="shared" si="38"/>
        <v>4166.4000000000005</v>
      </c>
      <c r="S30" s="217">
        <f t="shared" si="38"/>
        <v>627.1</v>
      </c>
      <c r="T30" s="217">
        <f t="shared" si="38"/>
        <v>2066.2000000000003</v>
      </c>
      <c r="U30" s="217">
        <f t="shared" si="38"/>
        <v>465.8</v>
      </c>
      <c r="V30" s="217">
        <f t="shared" si="38"/>
        <v>3058.4</v>
      </c>
      <c r="W30" s="217">
        <f t="shared" si="38"/>
        <v>853.5</v>
      </c>
      <c r="X30" s="217">
        <f t="shared" si="38"/>
        <v>1560.8</v>
      </c>
      <c r="Y30" s="217">
        <f t="shared" si="38"/>
        <v>3589.6000000000004</v>
      </c>
      <c r="Z30" s="217">
        <f t="shared" si="38"/>
        <v>6003.9</v>
      </c>
      <c r="AA30" s="217">
        <f t="shared" si="38"/>
        <v>518.5</v>
      </c>
      <c r="AB30" s="217">
        <f t="shared" si="38"/>
        <v>710.6</v>
      </c>
      <c r="AC30" s="217">
        <f t="shared" si="38"/>
        <v>517.9</v>
      </c>
      <c r="AD30" s="174">
        <f>SUM(AD15:AD29)</f>
        <v>15032.6</v>
      </c>
      <c r="AE30" s="174">
        <f t="shared" si="38"/>
        <v>10709.3</v>
      </c>
      <c r="AF30" s="174">
        <f>SUM(AF15:AF29)</f>
        <v>17640.3</v>
      </c>
      <c r="AG30" s="174">
        <f>SUM(AG15:AG29)</f>
        <v>15379.1</v>
      </c>
      <c r="AH30" s="174">
        <f>SUM(AH15:AH29)</f>
        <v>6752.9</v>
      </c>
      <c r="AI30" s="174">
        <f t="shared" ref="AI30:BM30" si="39">SUM(AI15:AI29)</f>
        <v>540</v>
      </c>
      <c r="AJ30" s="174">
        <f t="shared" si="39"/>
        <v>570</v>
      </c>
      <c r="AK30" s="174">
        <f t="shared" si="39"/>
        <v>672.8</v>
      </c>
      <c r="AL30" s="174">
        <f t="shared" si="39"/>
        <v>550</v>
      </c>
      <c r="AM30" s="174">
        <f t="shared" si="39"/>
        <v>603</v>
      </c>
      <c r="AN30" s="174">
        <f t="shared" si="39"/>
        <v>1511.8</v>
      </c>
      <c r="AO30" s="174">
        <f t="shared" si="39"/>
        <v>742.2</v>
      </c>
      <c r="AP30" s="174">
        <f t="shared" si="39"/>
        <v>600</v>
      </c>
      <c r="AQ30" s="174">
        <f t="shared" si="39"/>
        <v>685</v>
      </c>
      <c r="AR30" s="174">
        <f t="shared" si="39"/>
        <v>620</v>
      </c>
      <c r="AS30" s="174">
        <f t="shared" si="39"/>
        <v>570</v>
      </c>
      <c r="AT30" s="174">
        <f t="shared" si="39"/>
        <v>3956.3999999999996</v>
      </c>
      <c r="AU30" s="174">
        <f t="shared" si="39"/>
        <v>0</v>
      </c>
      <c r="AV30" s="174">
        <f t="shared" si="39"/>
        <v>0</v>
      </c>
      <c r="AW30" s="174">
        <f t="shared" si="39"/>
        <v>0</v>
      </c>
      <c r="AX30" s="174">
        <f t="shared" si="39"/>
        <v>0</v>
      </c>
      <c r="AY30" s="174">
        <f t="shared" si="39"/>
        <v>0</v>
      </c>
      <c r="AZ30" s="174">
        <f t="shared" si="39"/>
        <v>646</v>
      </c>
      <c r="BA30" s="174">
        <f t="shared" si="39"/>
        <v>1433.8000000000002</v>
      </c>
      <c r="BB30" s="174">
        <f t="shared" si="39"/>
        <v>1402.7</v>
      </c>
      <c r="BC30" s="174">
        <f t="shared" si="39"/>
        <v>2402.7999999999997</v>
      </c>
      <c r="BD30" s="174">
        <f t="shared" si="39"/>
        <v>1801.3999999999999</v>
      </c>
      <c r="BE30" s="174">
        <f t="shared" si="39"/>
        <v>1291.5999999999999</v>
      </c>
      <c r="BF30" s="174">
        <f t="shared" si="39"/>
        <v>2465.6999999999998</v>
      </c>
      <c r="BG30" s="174">
        <f t="shared" si="39"/>
        <v>2412.8999999999996</v>
      </c>
      <c r="BH30" s="174">
        <f t="shared" si="39"/>
        <v>1181.6999999999998</v>
      </c>
      <c r="BI30" s="174">
        <f t="shared" si="39"/>
        <v>1204.3000000000002</v>
      </c>
      <c r="BJ30" s="174">
        <f t="shared" si="39"/>
        <v>936.80000000000007</v>
      </c>
      <c r="BK30" s="174">
        <f t="shared" ref="BK30" si="40">SUM(BK15:BK29)</f>
        <v>1562.8</v>
      </c>
      <c r="BL30" s="236">
        <f>SUM(BL15:BL29)</f>
        <v>18742.500000000004</v>
      </c>
      <c r="BM30" s="236">
        <f t="shared" si="39"/>
        <v>366.80000000000007</v>
      </c>
      <c r="BN30" s="236">
        <f>SUM(BN15:BN29)</f>
        <v>3363.3999999999983</v>
      </c>
      <c r="BO30" s="236">
        <f>SUM(BO15:BO29)</f>
        <v>11989.6</v>
      </c>
      <c r="BP30" s="265">
        <f t="shared" ref="BP30:BP93" si="41">BL30/AE30*100</f>
        <v>175.01143865612136</v>
      </c>
      <c r="BQ30" s="266">
        <f t="shared" si="1"/>
        <v>8033.2000000000044</v>
      </c>
      <c r="BR30" s="266">
        <f t="shared" si="36"/>
        <v>106.24819305794122</v>
      </c>
      <c r="BS30" s="266">
        <f t="shared" si="2"/>
        <v>1102.2000000000044</v>
      </c>
      <c r="BT30" s="266">
        <f t="shared" si="13"/>
        <v>124.67903090616397</v>
      </c>
      <c r="BU30" s="266">
        <f t="shared" si="14"/>
        <v>3709.9000000000033</v>
      </c>
      <c r="BV30" s="236">
        <f t="shared" ref="BV30" si="42">SUM(BV15:BV29)</f>
        <v>922.3</v>
      </c>
      <c r="BW30" s="236">
        <f t="shared" ref="BW30:BX30" si="43">SUM(BW15:BW29)</f>
        <v>494.5</v>
      </c>
      <c r="BX30" s="236">
        <f t="shared" si="43"/>
        <v>445.90000000000003</v>
      </c>
      <c r="BY30" s="297">
        <f t="shared" si="15"/>
        <v>19682.900000000005</v>
      </c>
    </row>
    <row r="31" spans="1:80" s="14" customFormat="1" ht="31.5" outlineLevel="1" x14ac:dyDescent="0.3">
      <c r="A31" s="5"/>
      <c r="B31" s="234" t="s">
        <v>110</v>
      </c>
      <c r="C31" s="162"/>
      <c r="D31" s="167">
        <f t="shared" ref="D31:BK31" si="44">D30+D14</f>
        <v>246233.19999999998</v>
      </c>
      <c r="E31" s="163">
        <f t="shared" si="44"/>
        <v>234082.8</v>
      </c>
      <c r="F31" s="163">
        <f t="shared" si="44"/>
        <v>268543.5</v>
      </c>
      <c r="G31" s="163">
        <f t="shared" si="44"/>
        <v>12413.800000000001</v>
      </c>
      <c r="H31" s="163">
        <f t="shared" si="44"/>
        <v>6364.1</v>
      </c>
      <c r="I31" s="163">
        <f t="shared" si="44"/>
        <v>2454.6000000000004</v>
      </c>
      <c r="J31" s="163">
        <f t="shared" si="44"/>
        <v>15265.9</v>
      </c>
      <c r="K31" s="163">
        <f t="shared" si="44"/>
        <v>3803.8999999999996</v>
      </c>
      <c r="L31" s="163">
        <f t="shared" si="44"/>
        <v>40302.400000000009</v>
      </c>
      <c r="M31" s="106" t="e">
        <f t="shared" si="44"/>
        <v>#REF!</v>
      </c>
      <c r="N31" s="218">
        <f t="shared" si="44"/>
        <v>283154.29999999993</v>
      </c>
      <c r="O31" s="218">
        <f t="shared" si="44"/>
        <v>11465.699999999999</v>
      </c>
      <c r="P31" s="218">
        <f t="shared" si="44"/>
        <v>20372.2</v>
      </c>
      <c r="Q31" s="218">
        <f t="shared" si="44"/>
        <v>18697.599999999999</v>
      </c>
      <c r="R31" s="218">
        <f t="shared" si="44"/>
        <v>50535.5</v>
      </c>
      <c r="S31" s="218">
        <f t="shared" si="44"/>
        <v>23488.100000000002</v>
      </c>
      <c r="T31" s="218">
        <f t="shared" si="44"/>
        <v>20819.8</v>
      </c>
      <c r="U31" s="218">
        <f t="shared" si="44"/>
        <v>20926.099999999999</v>
      </c>
      <c r="V31" s="218">
        <f t="shared" si="44"/>
        <v>65133.30000000001</v>
      </c>
      <c r="W31" s="218">
        <f t="shared" si="44"/>
        <v>24544.599999999995</v>
      </c>
      <c r="X31" s="218">
        <f t="shared" si="44"/>
        <v>20977.099999999995</v>
      </c>
      <c r="Y31" s="218">
        <f t="shared" si="44"/>
        <v>22572</v>
      </c>
      <c r="Z31" s="218">
        <f t="shared" si="44"/>
        <v>68093.7</v>
      </c>
      <c r="AA31" s="218">
        <f t="shared" si="44"/>
        <v>29227.300000000007</v>
      </c>
      <c r="AB31" s="218">
        <f t="shared" si="44"/>
        <v>28581.200000000004</v>
      </c>
      <c r="AC31" s="218">
        <f t="shared" si="44"/>
        <v>40302.400000000009</v>
      </c>
      <c r="AD31" s="106">
        <f t="shared" si="44"/>
        <v>214275.20000000001</v>
      </c>
      <c r="AE31" s="106">
        <f t="shared" si="44"/>
        <v>287222.7</v>
      </c>
      <c r="AF31" s="106">
        <f t="shared" si="44"/>
        <v>273413.10000000003</v>
      </c>
      <c r="AG31" s="106">
        <f t="shared" si="44"/>
        <v>207632.80000000002</v>
      </c>
      <c r="AH31" s="106">
        <f>AH30+AH14</f>
        <v>221072.30000000002</v>
      </c>
      <c r="AI31" s="106">
        <f t="shared" si="44"/>
        <v>795.7</v>
      </c>
      <c r="AJ31" s="106">
        <f t="shared" si="44"/>
        <v>20152.600000000002</v>
      </c>
      <c r="AK31" s="106">
        <f t="shared" si="44"/>
        <v>24412.6</v>
      </c>
      <c r="AL31" s="106">
        <f t="shared" si="44"/>
        <v>18186.8</v>
      </c>
      <c r="AM31" s="106">
        <f t="shared" si="44"/>
        <v>23209</v>
      </c>
      <c r="AN31" s="106">
        <f t="shared" si="44"/>
        <v>25024.500000000004</v>
      </c>
      <c r="AO31" s="106">
        <f t="shared" si="44"/>
        <v>19671</v>
      </c>
      <c r="AP31" s="106">
        <f t="shared" si="44"/>
        <v>25221.9</v>
      </c>
      <c r="AQ31" s="106">
        <f t="shared" si="44"/>
        <v>19578.400000000001</v>
      </c>
      <c r="AR31" s="106">
        <f t="shared" si="44"/>
        <v>21644.9</v>
      </c>
      <c r="AS31" s="106">
        <f t="shared" si="44"/>
        <v>24086.800000000003</v>
      </c>
      <c r="AT31" s="106">
        <f t="shared" si="44"/>
        <v>66150.399999999994</v>
      </c>
      <c r="AU31" s="106">
        <f t="shared" si="44"/>
        <v>0</v>
      </c>
      <c r="AV31" s="106">
        <f t="shared" si="44"/>
        <v>0</v>
      </c>
      <c r="AW31" s="106">
        <f t="shared" si="44"/>
        <v>0</v>
      </c>
      <c r="AX31" s="106">
        <f t="shared" si="44"/>
        <v>0</v>
      </c>
      <c r="AY31" s="106">
        <f t="shared" si="44"/>
        <v>-4742.4000000000005</v>
      </c>
      <c r="AZ31" s="106">
        <f t="shared" si="44"/>
        <v>8073.2999999999993</v>
      </c>
      <c r="BA31" s="106">
        <f t="shared" si="44"/>
        <v>1100.9000000000001</v>
      </c>
      <c r="BB31" s="106">
        <f t="shared" si="44"/>
        <v>35567.999999999993</v>
      </c>
      <c r="BC31" s="106">
        <f t="shared" si="44"/>
        <v>31289.699999999997</v>
      </c>
      <c r="BD31" s="106">
        <f t="shared" si="44"/>
        <v>21499.200000000004</v>
      </c>
      <c r="BE31" s="106">
        <f t="shared" si="44"/>
        <v>24216.399999999994</v>
      </c>
      <c r="BF31" s="106">
        <f t="shared" si="44"/>
        <v>27046.9</v>
      </c>
      <c r="BG31" s="106">
        <f t="shared" si="44"/>
        <v>23315.800000000003</v>
      </c>
      <c r="BH31" s="106">
        <f t="shared" si="44"/>
        <v>20829.000000000004</v>
      </c>
      <c r="BI31" s="106">
        <f t="shared" si="44"/>
        <v>13264.000000000004</v>
      </c>
      <c r="BJ31" s="106">
        <f t="shared" si="44"/>
        <v>21420.299999999996</v>
      </c>
      <c r="BK31" s="106">
        <f t="shared" si="44"/>
        <v>46060.200000000004</v>
      </c>
      <c r="BL31" s="106">
        <f>BL30+BL14</f>
        <v>273683.70000000007</v>
      </c>
      <c r="BM31" s="106">
        <f>BM30+BM14</f>
        <v>-2666.5000000000014</v>
      </c>
      <c r="BN31" s="106">
        <f>BN30+BN14</f>
        <v>66050.900000000009</v>
      </c>
      <c r="BO31" s="106">
        <f>BO30+BO14</f>
        <v>52611.4</v>
      </c>
      <c r="BP31" s="163">
        <f t="shared" si="41"/>
        <v>95.286236080922592</v>
      </c>
      <c r="BQ31" s="187">
        <f t="shared" si="1"/>
        <v>-13538.999999999942</v>
      </c>
      <c r="BR31" s="187">
        <f t="shared" si="36"/>
        <v>100.09897111733126</v>
      </c>
      <c r="BS31" s="187">
        <f t="shared" si="2"/>
        <v>270.60000000003492</v>
      </c>
      <c r="BT31" s="266">
        <f t="shared" si="13"/>
        <v>127.72532705604758</v>
      </c>
      <c r="BU31" s="266">
        <f t="shared" si="14"/>
        <v>59408.500000000058</v>
      </c>
      <c r="BV31" s="236">
        <f t="shared" ref="BV31:BX31" si="45">BV30+BV14</f>
        <v>1435.5999999999992</v>
      </c>
      <c r="BW31" s="106">
        <f t="shared" si="45"/>
        <v>29649.599999999999</v>
      </c>
      <c r="BX31" s="106">
        <f t="shared" si="45"/>
        <v>42268.6</v>
      </c>
      <c r="BY31" s="298">
        <f t="shared" si="15"/>
        <v>345601.9</v>
      </c>
      <c r="BZ31" s="189"/>
      <c r="CA31" s="189"/>
    </row>
    <row r="32" spans="1:80" s="136" customFormat="1" ht="28.5" customHeight="1" x14ac:dyDescent="0.25">
      <c r="A32" s="8"/>
      <c r="B32" s="16" t="s">
        <v>30</v>
      </c>
      <c r="C32" s="25"/>
      <c r="D32" s="71" t="e">
        <f>D34+D37+D71+D106+D121+D122+#REF!+#REF!+#REF!</f>
        <v>#REF!</v>
      </c>
      <c r="E32" s="71">
        <f>E34+E37+E71+E106+E122+E121</f>
        <v>584970.30000000005</v>
      </c>
      <c r="F32" s="71">
        <f>F34+F37+F71+F106+F122+F121+F120+0.1</f>
        <v>659121.80000000005</v>
      </c>
      <c r="G32" s="71">
        <f t="shared" ref="G32:AC32" si="46">G34+G37+G71+G106+G122+G121+G120</f>
        <v>41769.300000000003</v>
      </c>
      <c r="H32" s="71">
        <f t="shared" si="46"/>
        <v>-1980.3000000000002</v>
      </c>
      <c r="I32" s="71">
        <f t="shared" si="46"/>
        <v>1485.1000000000001</v>
      </c>
      <c r="J32" s="71">
        <f t="shared" si="46"/>
        <v>4999.6000000000004</v>
      </c>
      <c r="K32" s="71">
        <f t="shared" si="46"/>
        <v>0</v>
      </c>
      <c r="L32" s="71">
        <f t="shared" si="46"/>
        <v>46273.7</v>
      </c>
      <c r="M32" s="132" t="e">
        <f t="shared" si="46"/>
        <v>#REF!</v>
      </c>
      <c r="N32" s="132">
        <f t="shared" si="46"/>
        <v>673382.20000000007</v>
      </c>
      <c r="O32" s="132">
        <f t="shared" si="46"/>
        <v>0</v>
      </c>
      <c r="P32" s="132">
        <f t="shared" si="46"/>
        <v>0</v>
      </c>
      <c r="Q32" s="132">
        <f t="shared" si="46"/>
        <v>0</v>
      </c>
      <c r="R32" s="132">
        <f t="shared" si="46"/>
        <v>0</v>
      </c>
      <c r="S32" s="132">
        <f t="shared" si="46"/>
        <v>0</v>
      </c>
      <c r="T32" s="132">
        <f t="shared" si="46"/>
        <v>0</v>
      </c>
      <c r="U32" s="132">
        <f t="shared" si="46"/>
        <v>0</v>
      </c>
      <c r="V32" s="132">
        <f t="shared" si="46"/>
        <v>0</v>
      </c>
      <c r="W32" s="132">
        <f t="shared" si="46"/>
        <v>0</v>
      </c>
      <c r="X32" s="132">
        <f t="shared" si="46"/>
        <v>0</v>
      </c>
      <c r="Y32" s="132">
        <f t="shared" si="46"/>
        <v>0</v>
      </c>
      <c r="Z32" s="132">
        <f t="shared" si="46"/>
        <v>0</v>
      </c>
      <c r="AA32" s="132">
        <f t="shared" si="46"/>
        <v>0</v>
      </c>
      <c r="AB32" s="132">
        <f t="shared" si="46"/>
        <v>0</v>
      </c>
      <c r="AC32" s="132">
        <f t="shared" si="46"/>
        <v>0</v>
      </c>
      <c r="AD32" s="174">
        <f t="shared" ref="AD32:BH32" si="47">AD34+AD37+AD71+AD106+AD120+AD121+AD122</f>
        <v>556968.5</v>
      </c>
      <c r="AE32" s="174">
        <f t="shared" si="47"/>
        <v>1150632.3999999999</v>
      </c>
      <c r="AF32" s="174">
        <f t="shared" si="47"/>
        <v>1242966.2999999998</v>
      </c>
      <c r="AG32" s="174"/>
      <c r="AH32" s="174">
        <f t="shared" si="47"/>
        <v>1207341.8</v>
      </c>
      <c r="AI32" s="174">
        <f t="shared" si="47"/>
        <v>37489.400000000009</v>
      </c>
      <c r="AJ32" s="174">
        <f t="shared" si="47"/>
        <v>58034.299999999996</v>
      </c>
      <c r="AK32" s="174">
        <f t="shared" si="47"/>
        <v>277620.50000000006</v>
      </c>
      <c r="AL32" s="174">
        <f t="shared" si="47"/>
        <v>68576.099999999991</v>
      </c>
      <c r="AM32" s="174">
        <f t="shared" si="47"/>
        <v>56695</v>
      </c>
      <c r="AN32" s="174">
        <f t="shared" si="47"/>
        <v>57508.800000000003</v>
      </c>
      <c r="AO32" s="174">
        <f t="shared" si="47"/>
        <v>61713.2</v>
      </c>
      <c r="AP32" s="174">
        <f t="shared" si="47"/>
        <v>142271.09999999998</v>
      </c>
      <c r="AQ32" s="174">
        <f t="shared" si="47"/>
        <v>101521.59999999998</v>
      </c>
      <c r="AR32" s="174">
        <f>AR34+AR37+AR71+AR106+AR120+AR121+AR122+AR123</f>
        <v>98645.700000000012</v>
      </c>
      <c r="AS32" s="174">
        <f t="shared" si="47"/>
        <v>107437.49999999999</v>
      </c>
      <c r="AT32" s="174">
        <f t="shared" si="47"/>
        <v>0</v>
      </c>
      <c r="AU32" s="174">
        <f t="shared" si="47"/>
        <v>0</v>
      </c>
      <c r="AV32" s="174">
        <f t="shared" si="47"/>
        <v>0</v>
      </c>
      <c r="AW32" s="174">
        <f t="shared" si="47"/>
        <v>0</v>
      </c>
      <c r="AX32" s="174">
        <f t="shared" si="47"/>
        <v>0</v>
      </c>
      <c r="AY32" s="174">
        <f t="shared" si="47"/>
        <v>0</v>
      </c>
      <c r="AZ32" s="174">
        <f t="shared" si="47"/>
        <v>37489.400000000009</v>
      </c>
      <c r="BA32" s="174">
        <f t="shared" si="47"/>
        <v>58034.299999999996</v>
      </c>
      <c r="BB32" s="174">
        <f t="shared" si="47"/>
        <v>277620.50000000006</v>
      </c>
      <c r="BC32" s="174">
        <f t="shared" si="47"/>
        <v>68576.099999999991</v>
      </c>
      <c r="BD32" s="174">
        <f t="shared" si="47"/>
        <v>56695</v>
      </c>
      <c r="BE32" s="174">
        <f t="shared" si="47"/>
        <v>57508.800000000003</v>
      </c>
      <c r="BF32" s="174">
        <f t="shared" si="47"/>
        <v>62567.8</v>
      </c>
      <c r="BG32" s="174">
        <f t="shared" si="47"/>
        <v>142271.09999999998</v>
      </c>
      <c r="BH32" s="174">
        <f t="shared" si="47"/>
        <v>101536.59999999998</v>
      </c>
      <c r="BI32" s="174">
        <f>BI34+BI37+BI71+BI106+BI120+BI121+BI122+BI123</f>
        <v>93168.900000000009</v>
      </c>
      <c r="BJ32" s="174">
        <f>BJ34+BJ37+BJ71+BJ106+BJ120+BJ121+BJ122+BJ123</f>
        <v>113044.19999999998</v>
      </c>
      <c r="BK32" s="174">
        <f>BK34+BK37+BK71+BK106+BK120+BK121+BK122</f>
        <v>138829.1</v>
      </c>
      <c r="BL32" s="236">
        <f>BL34+BL37+BL71+BL106+BL120+BL121+BL122+BL123</f>
        <v>1207341.7999999998</v>
      </c>
      <c r="BM32" s="174"/>
      <c r="BN32" s="174"/>
      <c r="BO32" s="174">
        <f>BL32-AH32</f>
        <v>0</v>
      </c>
      <c r="BP32" s="66">
        <f t="shared" si="41"/>
        <v>104.92854190443445</v>
      </c>
      <c r="BQ32" s="102">
        <f t="shared" si="1"/>
        <v>56709.399999999907</v>
      </c>
      <c r="BR32" s="186">
        <f t="shared" si="36"/>
        <v>97.133912641074829</v>
      </c>
      <c r="BS32" s="186">
        <f>BL32-AF32</f>
        <v>-35624.5</v>
      </c>
      <c r="BT32" s="186">
        <f t="shared" si="13"/>
        <v>216.77021231900903</v>
      </c>
      <c r="BU32" s="186">
        <f t="shared" si="14"/>
        <v>650373.29999999981</v>
      </c>
      <c r="BV32" s="186"/>
      <c r="BW32" s="236"/>
      <c r="BX32" s="236"/>
      <c r="BZ32" s="72"/>
      <c r="CA32" s="72"/>
      <c r="CB32" s="72"/>
    </row>
    <row r="33" spans="1:76" s="136" customFormat="1" ht="29.25" customHeight="1" x14ac:dyDescent="0.25">
      <c r="A33" s="8"/>
      <c r="B33" s="242" t="s">
        <v>291</v>
      </c>
      <c r="C33" s="25"/>
      <c r="D33" s="71" t="e">
        <f>D32-D122-D121-#REF!-#REF!-#REF!</f>
        <v>#REF!</v>
      </c>
      <c r="E33" s="71"/>
      <c r="F33" s="71">
        <f t="shared" ref="F33:L33" si="48">F32-F122-F121-F120</f>
        <v>666242.20000000007</v>
      </c>
      <c r="G33" s="71">
        <f t="shared" si="48"/>
        <v>41769.300000000003</v>
      </c>
      <c r="H33" s="71">
        <f t="shared" si="48"/>
        <v>-1980.3000000000002</v>
      </c>
      <c r="I33" s="71">
        <f t="shared" si="48"/>
        <v>1485.1000000000001</v>
      </c>
      <c r="J33" s="71">
        <f t="shared" si="48"/>
        <v>4008.2000000000003</v>
      </c>
      <c r="K33" s="71">
        <f t="shared" si="48"/>
        <v>0</v>
      </c>
      <c r="L33" s="71">
        <f t="shared" si="48"/>
        <v>45282.299999999996</v>
      </c>
      <c r="M33" s="174" t="e">
        <f t="shared" ref="M33:AC33" si="49">M34+M37+M71+M106</f>
        <v>#REF!</v>
      </c>
      <c r="N33" s="174">
        <f t="shared" si="49"/>
        <v>680502.60000000009</v>
      </c>
      <c r="O33" s="174">
        <f t="shared" si="49"/>
        <v>0</v>
      </c>
      <c r="P33" s="174">
        <f t="shared" si="49"/>
        <v>0</v>
      </c>
      <c r="Q33" s="174">
        <f t="shared" si="49"/>
        <v>0</v>
      </c>
      <c r="R33" s="174">
        <f t="shared" si="49"/>
        <v>0</v>
      </c>
      <c r="S33" s="174">
        <f t="shared" si="49"/>
        <v>0</v>
      </c>
      <c r="T33" s="174">
        <f t="shared" si="49"/>
        <v>0</v>
      </c>
      <c r="U33" s="174">
        <f t="shared" si="49"/>
        <v>0</v>
      </c>
      <c r="V33" s="174">
        <f t="shared" si="49"/>
        <v>0</v>
      </c>
      <c r="W33" s="174">
        <f t="shared" si="49"/>
        <v>0</v>
      </c>
      <c r="X33" s="174">
        <f t="shared" si="49"/>
        <v>0</v>
      </c>
      <c r="Y33" s="174">
        <f t="shared" si="49"/>
        <v>0</v>
      </c>
      <c r="Z33" s="174">
        <f t="shared" si="49"/>
        <v>0</v>
      </c>
      <c r="AA33" s="174">
        <f t="shared" si="49"/>
        <v>0</v>
      </c>
      <c r="AB33" s="174">
        <f t="shared" si="49"/>
        <v>0</v>
      </c>
      <c r="AC33" s="174">
        <f t="shared" si="49"/>
        <v>0</v>
      </c>
      <c r="AD33" s="174">
        <f>AD34+AD37+AD71+AD106+0</f>
        <v>565080.30000000005</v>
      </c>
      <c r="AE33" s="174">
        <f>AE34+AE37+AE71+AE106+0</f>
        <v>1150632.3999999999</v>
      </c>
      <c r="AF33" s="174">
        <f t="shared" ref="AF33:BJ33" si="50">AF34+AF37+AF71+AF106</f>
        <v>1244426.8999999999</v>
      </c>
      <c r="AG33" s="174"/>
      <c r="AH33" s="174">
        <f t="shared" si="50"/>
        <v>1208802.4000000001</v>
      </c>
      <c r="AI33" s="174">
        <f t="shared" si="50"/>
        <v>39064.400000000009</v>
      </c>
      <c r="AJ33" s="174">
        <f t="shared" si="50"/>
        <v>56999.399999999994</v>
      </c>
      <c r="AK33" s="174">
        <f t="shared" si="50"/>
        <v>277527.60000000003</v>
      </c>
      <c r="AL33" s="174">
        <f t="shared" si="50"/>
        <v>68587.899999999994</v>
      </c>
      <c r="AM33" s="174">
        <f t="shared" si="50"/>
        <v>57696.6</v>
      </c>
      <c r="AN33" s="174">
        <f t="shared" si="50"/>
        <v>57508.800000000003</v>
      </c>
      <c r="AO33" s="174">
        <f t="shared" si="50"/>
        <v>61713.2</v>
      </c>
      <c r="AP33" s="174">
        <f t="shared" si="50"/>
        <v>142271.09999999998</v>
      </c>
      <c r="AQ33" s="174">
        <f t="shared" si="50"/>
        <v>101521.59999999998</v>
      </c>
      <c r="AR33" s="174">
        <f t="shared" si="50"/>
        <v>98645.700000000012</v>
      </c>
      <c r="AS33" s="174">
        <f t="shared" si="50"/>
        <v>107437.49999999999</v>
      </c>
      <c r="AT33" s="174">
        <f t="shared" si="50"/>
        <v>0</v>
      </c>
      <c r="AU33" s="174">
        <f t="shared" si="50"/>
        <v>0</v>
      </c>
      <c r="AV33" s="174">
        <f t="shared" si="50"/>
        <v>0</v>
      </c>
      <c r="AW33" s="174">
        <f t="shared" si="50"/>
        <v>0</v>
      </c>
      <c r="AX33" s="174">
        <f t="shared" si="50"/>
        <v>0</v>
      </c>
      <c r="AY33" s="174">
        <f t="shared" si="50"/>
        <v>0</v>
      </c>
      <c r="AZ33" s="174">
        <f t="shared" si="50"/>
        <v>39064.400000000009</v>
      </c>
      <c r="BA33" s="174">
        <f t="shared" si="50"/>
        <v>56999.399999999994</v>
      </c>
      <c r="BB33" s="174">
        <f t="shared" si="50"/>
        <v>277527.60000000003</v>
      </c>
      <c r="BC33" s="174">
        <f t="shared" si="50"/>
        <v>68587.899999999994</v>
      </c>
      <c r="BD33" s="174">
        <f t="shared" si="50"/>
        <v>57696.6</v>
      </c>
      <c r="BE33" s="174">
        <f t="shared" si="50"/>
        <v>57508.800000000003</v>
      </c>
      <c r="BF33" s="174">
        <f t="shared" si="50"/>
        <v>62567.8</v>
      </c>
      <c r="BG33" s="174">
        <f t="shared" si="50"/>
        <v>142271.09999999998</v>
      </c>
      <c r="BH33" s="174">
        <f t="shared" si="50"/>
        <v>101536.59999999998</v>
      </c>
      <c r="BI33" s="174">
        <f t="shared" si="50"/>
        <v>98775.6</v>
      </c>
      <c r="BJ33" s="174">
        <f t="shared" si="50"/>
        <v>107437.49999999999</v>
      </c>
      <c r="BK33" s="174">
        <f>BK34+BK37+BK71+BK106</f>
        <v>138829.1</v>
      </c>
      <c r="BL33" s="236">
        <f>BL34+BL37+BL71+BL106</f>
        <v>1208802.3999999999</v>
      </c>
      <c r="BM33" s="174"/>
      <c r="BN33" s="174"/>
      <c r="BO33" s="174"/>
      <c r="BP33" s="66">
        <f t="shared" si="41"/>
        <v>105.05548079473515</v>
      </c>
      <c r="BQ33" s="102">
        <f t="shared" si="1"/>
        <v>58170</v>
      </c>
      <c r="BR33" s="186">
        <f t="shared" si="36"/>
        <v>97.137276604997851</v>
      </c>
      <c r="BS33" s="186">
        <f t="shared" si="2"/>
        <v>-35624.5</v>
      </c>
      <c r="BT33" s="186">
        <f t="shared" si="13"/>
        <v>213.91692472733519</v>
      </c>
      <c r="BU33" s="186">
        <f t="shared" si="14"/>
        <v>643722.09999999986</v>
      </c>
      <c r="BV33" s="186"/>
      <c r="BW33" s="236"/>
      <c r="BX33" s="236"/>
    </row>
    <row r="34" spans="1:76" s="136" customFormat="1" ht="18.75" customHeight="1" x14ac:dyDescent="0.25">
      <c r="A34" s="8"/>
      <c r="B34" s="175" t="s">
        <v>111</v>
      </c>
      <c r="C34" s="23"/>
      <c r="D34" s="169">
        <v>182425.7</v>
      </c>
      <c r="E34" s="163">
        <f>E35+E36</f>
        <v>196252.5</v>
      </c>
      <c r="F34" s="163">
        <f t="shared" ref="F34:L34" si="51">F35+F36</f>
        <v>196252.5</v>
      </c>
      <c r="G34" s="163">
        <f t="shared" si="51"/>
        <v>21849.100000000002</v>
      </c>
      <c r="H34" s="163">
        <f t="shared" si="51"/>
        <v>0</v>
      </c>
      <c r="I34" s="163">
        <f t="shared" si="51"/>
        <v>0</v>
      </c>
      <c r="J34" s="163">
        <f t="shared" si="51"/>
        <v>0</v>
      </c>
      <c r="K34" s="163">
        <f t="shared" si="51"/>
        <v>0</v>
      </c>
      <c r="L34" s="163">
        <f t="shared" si="51"/>
        <v>21849.100000000002</v>
      </c>
      <c r="M34" s="106" t="e">
        <f>M35+M36</f>
        <v>#REF!</v>
      </c>
      <c r="N34" s="106">
        <f t="shared" ref="N34:AC34" si="52">N35+N36</f>
        <v>196252.5</v>
      </c>
      <c r="O34" s="106">
        <f t="shared" si="52"/>
        <v>0</v>
      </c>
      <c r="P34" s="106">
        <f t="shared" si="52"/>
        <v>0</v>
      </c>
      <c r="Q34" s="106">
        <f t="shared" si="52"/>
        <v>0</v>
      </c>
      <c r="R34" s="106">
        <f t="shared" si="52"/>
        <v>0</v>
      </c>
      <c r="S34" s="106">
        <f t="shared" si="52"/>
        <v>0</v>
      </c>
      <c r="T34" s="106">
        <f t="shared" si="52"/>
        <v>0</v>
      </c>
      <c r="U34" s="106">
        <f t="shared" si="52"/>
        <v>0</v>
      </c>
      <c r="V34" s="106">
        <f t="shared" si="52"/>
        <v>0</v>
      </c>
      <c r="W34" s="106">
        <f t="shared" si="52"/>
        <v>0</v>
      </c>
      <c r="X34" s="106">
        <f t="shared" si="52"/>
        <v>0</v>
      </c>
      <c r="Y34" s="106">
        <f t="shared" si="52"/>
        <v>0</v>
      </c>
      <c r="Z34" s="106">
        <f t="shared" si="52"/>
        <v>0</v>
      </c>
      <c r="AA34" s="106">
        <f t="shared" si="52"/>
        <v>0</v>
      </c>
      <c r="AB34" s="106">
        <f t="shared" si="52"/>
        <v>0</v>
      </c>
      <c r="AC34" s="106">
        <f t="shared" si="52"/>
        <v>0</v>
      </c>
      <c r="AD34" s="106">
        <v>157626.29999999999</v>
      </c>
      <c r="AE34" s="106">
        <f t="shared" ref="AE34:BL34" si="53">AE35+AE36</f>
        <v>218718.5</v>
      </c>
      <c r="AF34" s="106">
        <f t="shared" si="53"/>
        <v>218718.5</v>
      </c>
      <c r="AG34" s="106"/>
      <c r="AH34" s="106">
        <f t="shared" si="53"/>
        <v>218718.5</v>
      </c>
      <c r="AI34" s="106">
        <f t="shared" si="53"/>
        <v>17437.599999999999</v>
      </c>
      <c r="AJ34" s="106">
        <f t="shared" si="53"/>
        <v>34875.4</v>
      </c>
      <c r="AK34" s="106">
        <f t="shared" si="53"/>
        <v>0</v>
      </c>
      <c r="AL34" s="106">
        <f t="shared" si="53"/>
        <v>34875.199999999997</v>
      </c>
      <c r="AM34" s="106">
        <f t="shared" si="53"/>
        <v>17437.7</v>
      </c>
      <c r="AN34" s="106">
        <f t="shared" si="53"/>
        <v>0</v>
      </c>
      <c r="AO34" s="106">
        <f t="shared" si="53"/>
        <v>17437.599999999999</v>
      </c>
      <c r="AP34" s="106">
        <f t="shared" si="53"/>
        <v>41975.399999999994</v>
      </c>
      <c r="AQ34" s="106">
        <f t="shared" si="53"/>
        <v>0</v>
      </c>
      <c r="AR34" s="106">
        <f t="shared" si="53"/>
        <v>18226.5</v>
      </c>
      <c r="AS34" s="106">
        <f t="shared" si="53"/>
        <v>36453.1</v>
      </c>
      <c r="AT34" s="106">
        <f t="shared" si="53"/>
        <v>0</v>
      </c>
      <c r="AU34" s="106">
        <f t="shared" si="53"/>
        <v>0</v>
      </c>
      <c r="AV34" s="106">
        <f t="shared" si="53"/>
        <v>0</v>
      </c>
      <c r="AW34" s="106">
        <f t="shared" si="53"/>
        <v>0</v>
      </c>
      <c r="AX34" s="106">
        <f t="shared" si="53"/>
        <v>0</v>
      </c>
      <c r="AY34" s="106">
        <f t="shared" si="53"/>
        <v>0</v>
      </c>
      <c r="AZ34" s="106">
        <f>AZ35+AZ36</f>
        <v>17437.599999999999</v>
      </c>
      <c r="BA34" s="106">
        <f t="shared" si="53"/>
        <v>34875.4</v>
      </c>
      <c r="BB34" s="106">
        <f t="shared" si="53"/>
        <v>0</v>
      </c>
      <c r="BC34" s="106">
        <f t="shared" si="53"/>
        <v>34875.199999999997</v>
      </c>
      <c r="BD34" s="106">
        <f t="shared" si="53"/>
        <v>17437.7</v>
      </c>
      <c r="BE34" s="106">
        <f t="shared" si="53"/>
        <v>0</v>
      </c>
      <c r="BF34" s="106">
        <f t="shared" si="53"/>
        <v>17437.599999999999</v>
      </c>
      <c r="BG34" s="106">
        <f t="shared" si="53"/>
        <v>41975.399999999994</v>
      </c>
      <c r="BH34" s="106">
        <f t="shared" si="53"/>
        <v>0</v>
      </c>
      <c r="BI34" s="106">
        <f t="shared" si="53"/>
        <v>18226.5</v>
      </c>
      <c r="BJ34" s="106">
        <f t="shared" si="53"/>
        <v>36453.1</v>
      </c>
      <c r="BK34" s="106">
        <f t="shared" si="53"/>
        <v>0</v>
      </c>
      <c r="BL34" s="106">
        <f t="shared" si="53"/>
        <v>218718.5</v>
      </c>
      <c r="BM34" s="106"/>
      <c r="BN34" s="106"/>
      <c r="BO34" s="106"/>
      <c r="BP34" s="163">
        <f t="shared" si="41"/>
        <v>100</v>
      </c>
      <c r="BQ34" s="187">
        <f t="shared" si="1"/>
        <v>0</v>
      </c>
      <c r="BR34" s="187">
        <f t="shared" si="36"/>
        <v>100</v>
      </c>
      <c r="BS34" s="187">
        <f t="shared" si="2"/>
        <v>0</v>
      </c>
      <c r="BT34" s="266">
        <f t="shared" si="13"/>
        <v>138.75761849386811</v>
      </c>
      <c r="BU34" s="266">
        <f t="shared" si="14"/>
        <v>61092.200000000012</v>
      </c>
      <c r="BV34" s="266"/>
      <c r="BW34" s="106"/>
      <c r="BX34" s="106"/>
    </row>
    <row r="35" spans="1:76" s="136" customFormat="1" ht="30" outlineLevel="7" x14ac:dyDescent="0.25">
      <c r="A35" s="8" t="s">
        <v>31</v>
      </c>
      <c r="B35" s="9" t="s">
        <v>113</v>
      </c>
      <c r="C35" s="10"/>
      <c r="D35" s="170"/>
      <c r="E35" s="66">
        <v>169069.9</v>
      </c>
      <c r="F35" s="98">
        <f t="shared" si="33"/>
        <v>169069.9</v>
      </c>
      <c r="G35" s="66">
        <v>19583.900000000001</v>
      </c>
      <c r="H35" s="67"/>
      <c r="I35" s="66"/>
      <c r="J35" s="67"/>
      <c r="K35" s="66"/>
      <c r="L35" s="67">
        <f t="shared" si="3"/>
        <v>19583.900000000001</v>
      </c>
      <c r="M35" s="176" t="e">
        <f>L35+#REF!</f>
        <v>#REF!</v>
      </c>
      <c r="N35" s="176">
        <v>169069.9</v>
      </c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>
        <v>189332.8</v>
      </c>
      <c r="AF35" s="176">
        <v>189332.8</v>
      </c>
      <c r="AG35" s="176"/>
      <c r="AH35" s="176">
        <f>BL35</f>
        <v>189332.80000000002</v>
      </c>
      <c r="AI35" s="176">
        <v>14988.8</v>
      </c>
      <c r="AJ35" s="176">
        <f>BA35</f>
        <v>29977.7</v>
      </c>
      <c r="AK35" s="176"/>
      <c r="AL35" s="176">
        <f>BC35</f>
        <v>29977.599999999999</v>
      </c>
      <c r="AM35" s="176">
        <f>BD35</f>
        <v>14989</v>
      </c>
      <c r="AN35" s="176"/>
      <c r="AO35" s="176">
        <v>14988.8</v>
      </c>
      <c r="AP35" s="176">
        <f>BG35</f>
        <v>37077.699999999997</v>
      </c>
      <c r="AQ35" s="176"/>
      <c r="AR35" s="176">
        <f>BI35</f>
        <v>15777.7</v>
      </c>
      <c r="AS35" s="176">
        <f>BJ35</f>
        <v>31555.5</v>
      </c>
      <c r="AT35" s="176"/>
      <c r="AU35" s="176"/>
      <c r="AV35" s="174"/>
      <c r="AW35" s="174"/>
      <c r="AX35" s="174"/>
      <c r="AY35" s="174"/>
      <c r="AZ35" s="176">
        <v>14988.8</v>
      </c>
      <c r="BA35" s="176">
        <v>29977.7</v>
      </c>
      <c r="BB35" s="176"/>
      <c r="BC35" s="176">
        <v>29977.599999999999</v>
      </c>
      <c r="BD35" s="176">
        <v>14989</v>
      </c>
      <c r="BE35" s="176"/>
      <c r="BF35" s="176">
        <v>14988.8</v>
      </c>
      <c r="BG35" s="176">
        <v>37077.699999999997</v>
      </c>
      <c r="BH35" s="176"/>
      <c r="BI35" s="176">
        <v>15777.7</v>
      </c>
      <c r="BJ35" s="176">
        <v>31555.5</v>
      </c>
      <c r="BK35" s="176"/>
      <c r="BL35" s="236">
        <f>AZ35+BA35+BB35+BC35+BD35+BE35+BF35+BG35+BH35+BI35+BJ35+BK35</f>
        <v>189332.80000000002</v>
      </c>
      <c r="BM35" s="70"/>
      <c r="BN35" s="70"/>
      <c r="BO35" s="70"/>
      <c r="BP35" s="66">
        <f t="shared" si="41"/>
        <v>100.00000000000003</v>
      </c>
      <c r="BQ35" s="102">
        <f t="shared" si="1"/>
        <v>0</v>
      </c>
      <c r="BR35" s="186">
        <f t="shared" si="36"/>
        <v>100.00000000000003</v>
      </c>
      <c r="BS35" s="186">
        <f t="shared" si="2"/>
        <v>0</v>
      </c>
      <c r="BT35" s="186"/>
      <c r="BU35" s="186"/>
      <c r="BV35" s="186"/>
      <c r="BW35" s="236"/>
      <c r="BX35" s="236"/>
    </row>
    <row r="36" spans="1:76" s="136" customFormat="1" ht="45" outlineLevel="7" x14ac:dyDescent="0.25">
      <c r="A36" s="8" t="s">
        <v>32</v>
      </c>
      <c r="B36" s="9" t="s">
        <v>114</v>
      </c>
      <c r="C36" s="10"/>
      <c r="D36" s="170"/>
      <c r="E36" s="66">
        <v>27182.6</v>
      </c>
      <c r="F36" s="98">
        <f t="shared" si="33"/>
        <v>27182.6</v>
      </c>
      <c r="G36" s="66">
        <v>2265.1999999999998</v>
      </c>
      <c r="H36" s="67"/>
      <c r="I36" s="66"/>
      <c r="J36" s="67"/>
      <c r="K36" s="66"/>
      <c r="L36" s="67">
        <f>K36+J36+I36+H36+G36</f>
        <v>2265.1999999999998</v>
      </c>
      <c r="M36" s="176" t="e">
        <f>L36+#REF!</f>
        <v>#REF!</v>
      </c>
      <c r="N36" s="176">
        <v>27182.6</v>
      </c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>
        <v>29385.7</v>
      </c>
      <c r="AF36" s="176">
        <v>29385.7</v>
      </c>
      <c r="AG36" s="176"/>
      <c r="AH36" s="176">
        <f>BL36</f>
        <v>29385.699999999997</v>
      </c>
      <c r="AI36" s="176">
        <v>2448.8000000000002</v>
      </c>
      <c r="AJ36" s="176">
        <f>BA36</f>
        <v>4897.7</v>
      </c>
      <c r="AK36" s="176"/>
      <c r="AL36" s="176">
        <f>BC36</f>
        <v>4897.6000000000004</v>
      </c>
      <c r="AM36" s="176">
        <f>BD36</f>
        <v>2448.6999999999998</v>
      </c>
      <c r="AN36" s="176"/>
      <c r="AO36" s="176">
        <f>BF36</f>
        <v>2448.8000000000002</v>
      </c>
      <c r="AP36" s="176">
        <f>BG36</f>
        <v>4897.7</v>
      </c>
      <c r="AQ36" s="176"/>
      <c r="AR36" s="176">
        <f>BI36</f>
        <v>2448.8000000000002</v>
      </c>
      <c r="AS36" s="176">
        <f>BJ36</f>
        <v>4897.6000000000004</v>
      </c>
      <c r="AT36" s="176"/>
      <c r="AU36" s="176"/>
      <c r="AV36" s="174"/>
      <c r="AW36" s="174"/>
      <c r="AX36" s="174"/>
      <c r="AY36" s="174"/>
      <c r="AZ36" s="176">
        <v>2448.8000000000002</v>
      </c>
      <c r="BA36" s="176">
        <v>4897.7</v>
      </c>
      <c r="BB36" s="176"/>
      <c r="BC36" s="176">
        <v>4897.6000000000004</v>
      </c>
      <c r="BD36" s="176">
        <v>2448.6999999999998</v>
      </c>
      <c r="BE36" s="176"/>
      <c r="BF36" s="176">
        <v>2448.8000000000002</v>
      </c>
      <c r="BG36" s="176">
        <v>4897.7</v>
      </c>
      <c r="BH36" s="176"/>
      <c r="BI36" s="176">
        <v>2448.8000000000002</v>
      </c>
      <c r="BJ36" s="176">
        <v>4897.6000000000004</v>
      </c>
      <c r="BK36" s="176"/>
      <c r="BL36" s="236">
        <f t="shared" ref="BL36:BL99" si="54">AZ36+BA36+BB36+BC36+BD36+BE36+BF36+BG36+BH36+BI36+BJ36+BK36</f>
        <v>29385.699999999997</v>
      </c>
      <c r="BM36" s="70"/>
      <c r="BN36" s="70"/>
      <c r="BO36" s="70"/>
      <c r="BP36" s="66">
        <f t="shared" si="41"/>
        <v>99.999999999999986</v>
      </c>
      <c r="BQ36" s="102">
        <f t="shared" si="1"/>
        <v>0</v>
      </c>
      <c r="BR36" s="186">
        <f t="shared" si="36"/>
        <v>99.999999999999986</v>
      </c>
      <c r="BS36" s="186">
        <f t="shared" si="2"/>
        <v>0</v>
      </c>
      <c r="BT36" s="186"/>
      <c r="BU36" s="186"/>
      <c r="BV36" s="186"/>
      <c r="BW36" s="236"/>
      <c r="BX36" s="236"/>
    </row>
    <row r="37" spans="1:76" s="136" customFormat="1" ht="23.25" outlineLevel="2" x14ac:dyDescent="0.25">
      <c r="A37" s="8" t="s">
        <v>33</v>
      </c>
      <c r="B37" s="175" t="s">
        <v>112</v>
      </c>
      <c r="C37" s="23"/>
      <c r="D37" s="169">
        <v>105616.8</v>
      </c>
      <c r="E37" s="163">
        <f>SUM(E41:E70)+E38</f>
        <v>137706.40000000002</v>
      </c>
      <c r="F37" s="163">
        <f t="shared" ref="F37:L37" si="55">SUM(F41:F70)+F38+F39</f>
        <v>167093.90000000002</v>
      </c>
      <c r="G37" s="163">
        <f t="shared" si="55"/>
        <v>1258.5</v>
      </c>
      <c r="H37" s="163">
        <f t="shared" si="55"/>
        <v>0</v>
      </c>
      <c r="I37" s="163">
        <f t="shared" si="55"/>
        <v>723.40000000000009</v>
      </c>
      <c r="J37" s="163">
        <f t="shared" si="55"/>
        <v>3595.9</v>
      </c>
      <c r="K37" s="163">
        <f t="shared" si="55"/>
        <v>0</v>
      </c>
      <c r="L37" s="163">
        <f t="shared" si="55"/>
        <v>5577.7999999999993</v>
      </c>
      <c r="M37" s="106" t="e">
        <f>SUM(M38:M70)</f>
        <v>#REF!</v>
      </c>
      <c r="N37" s="106">
        <f>SUM(N38:N70)</f>
        <v>182065.49999999997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>
        <v>152764.20000000001</v>
      </c>
      <c r="AE37" s="106">
        <f t="shared" ref="AE37:BJ37" si="56">SUM(AE38:AE70)</f>
        <v>618286.80000000005</v>
      </c>
      <c r="AF37" s="106">
        <f t="shared" si="56"/>
        <v>693047.6</v>
      </c>
      <c r="AG37" s="106"/>
      <c r="AH37" s="106">
        <f t="shared" si="56"/>
        <v>658386.4</v>
      </c>
      <c r="AI37" s="106">
        <f t="shared" si="56"/>
        <v>117.4</v>
      </c>
      <c r="AJ37" s="106">
        <f t="shared" si="56"/>
        <v>2250.1999999999998</v>
      </c>
      <c r="AK37" s="106">
        <f t="shared" si="56"/>
        <v>242141.90000000002</v>
      </c>
      <c r="AL37" s="106">
        <f t="shared" si="56"/>
        <v>2436.5000000000005</v>
      </c>
      <c r="AM37" s="106">
        <f t="shared" si="56"/>
        <v>8226.5</v>
      </c>
      <c r="AN37" s="106">
        <f t="shared" si="56"/>
        <v>25092.899999999998</v>
      </c>
      <c r="AO37" s="106">
        <f t="shared" si="56"/>
        <v>26976</v>
      </c>
      <c r="AP37" s="106">
        <f t="shared" si="56"/>
        <v>76504.199999999983</v>
      </c>
      <c r="AQ37" s="106">
        <f t="shared" si="56"/>
        <v>79157.299999999988</v>
      </c>
      <c r="AR37" s="106">
        <f t="shared" si="56"/>
        <v>36745.100000000006</v>
      </c>
      <c r="AS37" s="106">
        <f t="shared" si="56"/>
        <v>42853.099999999991</v>
      </c>
      <c r="AT37" s="106">
        <f t="shared" si="56"/>
        <v>0</v>
      </c>
      <c r="AU37" s="106">
        <f t="shared" si="56"/>
        <v>0</v>
      </c>
      <c r="AV37" s="106">
        <f t="shared" si="56"/>
        <v>0</v>
      </c>
      <c r="AW37" s="106">
        <f t="shared" si="56"/>
        <v>0</v>
      </c>
      <c r="AX37" s="106">
        <f t="shared" si="56"/>
        <v>0</v>
      </c>
      <c r="AY37" s="106">
        <f t="shared" si="56"/>
        <v>0</v>
      </c>
      <c r="AZ37" s="106">
        <f t="shared" si="56"/>
        <v>117.4</v>
      </c>
      <c r="BA37" s="106">
        <f t="shared" si="56"/>
        <v>2250.1999999999998</v>
      </c>
      <c r="BB37" s="106">
        <f t="shared" si="56"/>
        <v>242141.90000000002</v>
      </c>
      <c r="BC37" s="106">
        <f t="shared" si="56"/>
        <v>2436.5000000000005</v>
      </c>
      <c r="BD37" s="106">
        <f t="shared" si="56"/>
        <v>8226.5</v>
      </c>
      <c r="BE37" s="106">
        <f t="shared" si="56"/>
        <v>25092.899999999998</v>
      </c>
      <c r="BF37" s="106">
        <f t="shared" si="56"/>
        <v>26976</v>
      </c>
      <c r="BG37" s="106">
        <f t="shared" si="56"/>
        <v>76504.199999999983</v>
      </c>
      <c r="BH37" s="106">
        <f t="shared" si="56"/>
        <v>79157.299999999988</v>
      </c>
      <c r="BI37" s="106">
        <f t="shared" si="56"/>
        <v>36745.100000000006</v>
      </c>
      <c r="BJ37" s="106">
        <f t="shared" si="56"/>
        <v>42853.099999999991</v>
      </c>
      <c r="BK37" s="106">
        <f>SUM(BK38:BK70)</f>
        <v>115885.29999999999</v>
      </c>
      <c r="BL37" s="106">
        <f t="shared" si="54"/>
        <v>658386.39999999991</v>
      </c>
      <c r="BM37" s="106"/>
      <c r="BN37" s="106"/>
      <c r="BO37" s="106"/>
      <c r="BP37" s="172">
        <f t="shared" si="41"/>
        <v>106.48559859275662</v>
      </c>
      <c r="BQ37" s="267">
        <f t="shared" si="1"/>
        <v>40099.59999999986</v>
      </c>
      <c r="BR37" s="267">
        <f t="shared" si="36"/>
        <v>94.998727360140904</v>
      </c>
      <c r="BS37" s="267">
        <f t="shared" si="2"/>
        <v>-34661.20000000007</v>
      </c>
      <c r="BT37" s="266">
        <f t="shared" si="13"/>
        <v>430.98212801166761</v>
      </c>
      <c r="BU37" s="266">
        <f t="shared" si="14"/>
        <v>505622.1999999999</v>
      </c>
      <c r="BV37" s="266"/>
      <c r="BW37" s="106"/>
      <c r="BX37" s="106"/>
    </row>
    <row r="38" spans="1:76" s="19" customFormat="1" ht="45" outlineLevel="2" x14ac:dyDescent="0.25">
      <c r="A38" s="18"/>
      <c r="B38" s="224" t="s">
        <v>250</v>
      </c>
      <c r="C38" s="20" t="s">
        <v>249</v>
      </c>
      <c r="D38" s="99"/>
      <c r="E38" s="98">
        <v>2195.1999999999998</v>
      </c>
      <c r="F38" s="98">
        <f>E38</f>
        <v>2195.1999999999998</v>
      </c>
      <c r="G38" s="98"/>
      <c r="H38" s="98"/>
      <c r="I38" s="98"/>
      <c r="J38" s="98"/>
      <c r="K38" s="98"/>
      <c r="L38" s="67">
        <f>K38+J38+I38+H38+G38</f>
        <v>0</v>
      </c>
      <c r="M38" s="174" t="e">
        <f>L38+#REF!</f>
        <v>#REF!</v>
      </c>
      <c r="N38" s="176">
        <v>2195.1999999999998</v>
      </c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6"/>
      <c r="AE38" s="176">
        <v>343130.9</v>
      </c>
      <c r="AF38" s="176">
        <f>366321.1+7425</f>
        <v>373746.1</v>
      </c>
      <c r="AG38" s="176"/>
      <c r="AH38" s="176">
        <f>BL38</f>
        <v>367358.20000000007</v>
      </c>
      <c r="AI38" s="176">
        <f t="shared" ref="AI38:AN53" si="57">AZ38</f>
        <v>0</v>
      </c>
      <c r="AJ38" s="176">
        <f t="shared" si="57"/>
        <v>0</v>
      </c>
      <c r="AK38" s="176">
        <f t="shared" si="57"/>
        <v>130928.3</v>
      </c>
      <c r="AL38" s="176">
        <f t="shared" si="57"/>
        <v>253.7</v>
      </c>
      <c r="AM38" s="176">
        <f t="shared" si="57"/>
        <v>0</v>
      </c>
      <c r="AN38" s="176">
        <f t="shared" si="57"/>
        <v>2214.1</v>
      </c>
      <c r="AO38" s="176">
        <f>BF38</f>
        <v>5104.6000000000004</v>
      </c>
      <c r="AP38" s="176">
        <f>BG38</f>
        <v>39424.400000000001</v>
      </c>
      <c r="AQ38" s="176">
        <f>BH38</f>
        <v>41901.300000000003</v>
      </c>
      <c r="AR38" s="176">
        <f>BI38</f>
        <v>27320.7</v>
      </c>
      <c r="AS38" s="176">
        <f>BJ38</f>
        <v>15089.7</v>
      </c>
      <c r="AT38" s="176"/>
      <c r="AU38" s="176"/>
      <c r="AV38" s="176"/>
      <c r="AW38" s="176"/>
      <c r="AX38" s="176"/>
      <c r="AY38" s="176"/>
      <c r="AZ38" s="176">
        <f t="shared" si="28"/>
        <v>0</v>
      </c>
      <c r="BA38" s="176"/>
      <c r="BB38" s="176">
        <v>130928.3</v>
      </c>
      <c r="BC38" s="176">
        <v>253.7</v>
      </c>
      <c r="BD38" s="176"/>
      <c r="BE38" s="176">
        <v>2214.1</v>
      </c>
      <c r="BF38" s="176">
        <v>5104.6000000000004</v>
      </c>
      <c r="BG38" s="174">
        <v>39424.400000000001</v>
      </c>
      <c r="BH38" s="176">
        <v>41901.300000000003</v>
      </c>
      <c r="BI38" s="176">
        <v>27320.7</v>
      </c>
      <c r="BJ38" s="176">
        <v>15089.7</v>
      </c>
      <c r="BK38" s="176">
        <f>92270.7+12850.7</f>
        <v>105121.4</v>
      </c>
      <c r="BL38" s="236">
        <f t="shared" si="54"/>
        <v>367358.20000000007</v>
      </c>
      <c r="BM38" s="174"/>
      <c r="BN38" s="174"/>
      <c r="BO38" s="174"/>
      <c r="BP38" s="66">
        <f t="shared" si="41"/>
        <v>107.06065819196115</v>
      </c>
      <c r="BQ38" s="102">
        <f t="shared" si="1"/>
        <v>24227.300000000047</v>
      </c>
      <c r="BR38" s="186">
        <f t="shared" si="36"/>
        <v>98.290845041593769</v>
      </c>
      <c r="BS38" s="186">
        <f t="shared" si="2"/>
        <v>-6387.8999999999069</v>
      </c>
      <c r="BT38" s="186"/>
      <c r="BU38" s="186"/>
      <c r="BV38" s="186"/>
      <c r="BW38" s="236"/>
      <c r="BX38" s="236"/>
    </row>
    <row r="39" spans="1:76" s="19" customFormat="1" ht="30" customHeight="1" outlineLevel="2" x14ac:dyDescent="0.25">
      <c r="A39" s="18"/>
      <c r="B39" s="9" t="s">
        <v>287</v>
      </c>
      <c r="C39" s="20" t="s">
        <v>272</v>
      </c>
      <c r="D39" s="99"/>
      <c r="E39" s="98"/>
      <c r="F39" s="98">
        <v>15305.7</v>
      </c>
      <c r="G39" s="98"/>
      <c r="H39" s="98"/>
      <c r="I39" s="98"/>
      <c r="J39" s="98">
        <v>2560.9</v>
      </c>
      <c r="K39" s="98"/>
      <c r="L39" s="67">
        <f>K39+J39+I39+H39+G39</f>
        <v>2560.9</v>
      </c>
      <c r="M39" s="174" t="e">
        <f>L39+#REF!</f>
        <v>#REF!</v>
      </c>
      <c r="N39" s="176">
        <v>14634.7</v>
      </c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6"/>
      <c r="AE39" s="176">
        <v>11100.3</v>
      </c>
      <c r="AF39" s="176">
        <v>19433.900000000001</v>
      </c>
      <c r="AG39" s="176"/>
      <c r="AH39" s="176">
        <f t="shared" ref="AH39:AH70" si="58">BL39</f>
        <v>13990.800000000001</v>
      </c>
      <c r="AI39" s="176"/>
      <c r="AJ39" s="176"/>
      <c r="AK39" s="176"/>
      <c r="AL39" s="176">
        <f t="shared" si="57"/>
        <v>0</v>
      </c>
      <c r="AM39" s="176">
        <f t="shared" si="57"/>
        <v>0</v>
      </c>
      <c r="AN39" s="174"/>
      <c r="AO39" s="176">
        <f t="shared" ref="AO39:AR70" si="59">BF39</f>
        <v>0</v>
      </c>
      <c r="AP39" s="176">
        <f t="shared" si="59"/>
        <v>0</v>
      </c>
      <c r="AQ39" s="176">
        <f t="shared" si="59"/>
        <v>13990.7</v>
      </c>
      <c r="AR39" s="176">
        <f t="shared" si="59"/>
        <v>0.1</v>
      </c>
      <c r="AS39" s="174"/>
      <c r="AT39" s="174"/>
      <c r="AU39" s="174"/>
      <c r="AV39" s="174"/>
      <c r="AW39" s="174"/>
      <c r="AX39" s="174"/>
      <c r="AY39" s="174"/>
      <c r="AZ39" s="174"/>
      <c r="BA39" s="174"/>
      <c r="BB39" s="176"/>
      <c r="BC39" s="174"/>
      <c r="BD39" s="174"/>
      <c r="BE39" s="174"/>
      <c r="BF39" s="176"/>
      <c r="BG39" s="174"/>
      <c r="BH39" s="176">
        <v>13990.7</v>
      </c>
      <c r="BI39" s="176">
        <v>0.1</v>
      </c>
      <c r="BJ39" s="174"/>
      <c r="BK39" s="174"/>
      <c r="BL39" s="236">
        <f t="shared" si="54"/>
        <v>13990.800000000001</v>
      </c>
      <c r="BM39" s="174"/>
      <c r="BN39" s="174"/>
      <c r="BO39" s="174"/>
      <c r="BP39" s="66">
        <f t="shared" si="41"/>
        <v>126.03983676116863</v>
      </c>
      <c r="BQ39" s="102">
        <f t="shared" si="1"/>
        <v>2890.5000000000018</v>
      </c>
      <c r="BR39" s="186">
        <f t="shared" si="36"/>
        <v>71.991725798733142</v>
      </c>
      <c r="BS39" s="186">
        <f t="shared" si="2"/>
        <v>-5443.1</v>
      </c>
      <c r="BT39" s="186"/>
      <c r="BU39" s="186"/>
      <c r="BV39" s="186"/>
      <c r="BW39" s="236"/>
      <c r="BX39" s="236"/>
    </row>
    <row r="40" spans="1:76" s="19" customFormat="1" ht="61.5" hidden="1" customHeight="1" outlineLevel="2" x14ac:dyDescent="0.25">
      <c r="A40" s="18"/>
      <c r="B40" s="223"/>
      <c r="C40" s="20" t="s">
        <v>337</v>
      </c>
      <c r="D40" s="99"/>
      <c r="E40" s="98"/>
      <c r="F40" s="98"/>
      <c r="G40" s="98"/>
      <c r="H40" s="98"/>
      <c r="I40" s="98"/>
      <c r="J40" s="98"/>
      <c r="K40" s="98"/>
      <c r="L40" s="67"/>
      <c r="M40" s="174"/>
      <c r="N40" s="176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6"/>
      <c r="AE40" s="176">
        <v>3.4</v>
      </c>
      <c r="AF40" s="176"/>
      <c r="AG40" s="176"/>
      <c r="AH40" s="176">
        <f t="shared" si="58"/>
        <v>0</v>
      </c>
      <c r="AI40" s="176"/>
      <c r="AJ40" s="176"/>
      <c r="AK40" s="176"/>
      <c r="AL40" s="176">
        <f t="shared" si="57"/>
        <v>0</v>
      </c>
      <c r="AM40" s="176">
        <f t="shared" si="57"/>
        <v>0</v>
      </c>
      <c r="AN40" s="174"/>
      <c r="AO40" s="176">
        <f t="shared" si="59"/>
        <v>0</v>
      </c>
      <c r="AP40" s="176">
        <f t="shared" si="59"/>
        <v>0</v>
      </c>
      <c r="AQ40" s="176">
        <f t="shared" si="59"/>
        <v>0</v>
      </c>
      <c r="AR40" s="176">
        <f t="shared" si="59"/>
        <v>0</v>
      </c>
      <c r="AS40" s="174"/>
      <c r="AT40" s="174"/>
      <c r="AU40" s="174"/>
      <c r="AV40" s="174"/>
      <c r="AW40" s="174"/>
      <c r="AX40" s="174"/>
      <c r="AY40" s="174"/>
      <c r="AZ40" s="174"/>
      <c r="BA40" s="174"/>
      <c r="BB40" s="176"/>
      <c r="BC40" s="174"/>
      <c r="BD40" s="174"/>
      <c r="BE40" s="174"/>
      <c r="BF40" s="176"/>
      <c r="BG40" s="174"/>
      <c r="BH40" s="176"/>
      <c r="BI40" s="176"/>
      <c r="BJ40" s="174"/>
      <c r="BK40" s="174"/>
      <c r="BL40" s="236">
        <f t="shared" si="54"/>
        <v>0</v>
      </c>
      <c r="BM40" s="174"/>
      <c r="BN40" s="174"/>
      <c r="BO40" s="174"/>
      <c r="BP40" s="66">
        <f t="shared" si="41"/>
        <v>0</v>
      </c>
      <c r="BQ40" s="102">
        <f t="shared" si="1"/>
        <v>-3.4</v>
      </c>
      <c r="BR40" s="186" t="e">
        <f t="shared" si="36"/>
        <v>#DIV/0!</v>
      </c>
      <c r="BS40" s="186">
        <f t="shared" si="2"/>
        <v>0</v>
      </c>
      <c r="BT40" s="186"/>
      <c r="BU40" s="186"/>
      <c r="BV40" s="186"/>
      <c r="BW40" s="236"/>
      <c r="BX40" s="236"/>
    </row>
    <row r="41" spans="1:76" s="19" customFormat="1" ht="75" customHeight="1" outlineLevel="2" x14ac:dyDescent="0.25">
      <c r="A41" s="18"/>
      <c r="B41" s="21" t="s">
        <v>138</v>
      </c>
      <c r="C41" s="20" t="s">
        <v>137</v>
      </c>
      <c r="D41" s="171"/>
      <c r="E41" s="98">
        <v>0</v>
      </c>
      <c r="F41" s="98">
        <f>5957.4-1920.2</f>
        <v>4037.2</v>
      </c>
      <c r="G41" s="98"/>
      <c r="H41" s="119"/>
      <c r="I41" s="98"/>
      <c r="J41" s="119">
        <v>1001.6</v>
      </c>
      <c r="K41" s="98"/>
      <c r="L41" s="67">
        <f t="shared" ref="L41:L70" si="60">K41+J41+I41+H41+G41</f>
        <v>1001.6</v>
      </c>
      <c r="M41" s="174" t="e">
        <f>L41+#REF!</f>
        <v>#REF!</v>
      </c>
      <c r="N41" s="176">
        <v>3035.7</v>
      </c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6"/>
      <c r="AE41" s="176"/>
      <c r="AF41" s="176">
        <v>2003.1</v>
      </c>
      <c r="AG41" s="176"/>
      <c r="AH41" s="176">
        <f t="shared" si="58"/>
        <v>0</v>
      </c>
      <c r="AI41" s="176"/>
      <c r="AJ41" s="176"/>
      <c r="AK41" s="176"/>
      <c r="AL41" s="176">
        <f t="shared" si="57"/>
        <v>0</v>
      </c>
      <c r="AM41" s="176">
        <f t="shared" si="57"/>
        <v>0</v>
      </c>
      <c r="AN41" s="174"/>
      <c r="AO41" s="176">
        <f t="shared" si="59"/>
        <v>0</v>
      </c>
      <c r="AP41" s="176">
        <f t="shared" si="59"/>
        <v>0</v>
      </c>
      <c r="AQ41" s="176">
        <f t="shared" si="59"/>
        <v>0</v>
      </c>
      <c r="AR41" s="176">
        <f t="shared" si="59"/>
        <v>0</v>
      </c>
      <c r="AS41" s="174"/>
      <c r="AT41" s="174"/>
      <c r="AU41" s="174"/>
      <c r="AV41" s="174"/>
      <c r="AW41" s="174"/>
      <c r="AX41" s="174"/>
      <c r="AY41" s="174"/>
      <c r="AZ41" s="174"/>
      <c r="BA41" s="174"/>
      <c r="BB41" s="176"/>
      <c r="BC41" s="174"/>
      <c r="BD41" s="174"/>
      <c r="BE41" s="174"/>
      <c r="BF41" s="176"/>
      <c r="BG41" s="174"/>
      <c r="BH41" s="176"/>
      <c r="BI41" s="176"/>
      <c r="BJ41" s="174"/>
      <c r="BK41" s="174"/>
      <c r="BL41" s="236">
        <f t="shared" si="54"/>
        <v>0</v>
      </c>
      <c r="BM41" s="174"/>
      <c r="BN41" s="174"/>
      <c r="BO41" s="174"/>
      <c r="BP41" s="66"/>
      <c r="BQ41" s="102">
        <f t="shared" si="1"/>
        <v>0</v>
      </c>
      <c r="BR41" s="186">
        <f t="shared" si="36"/>
        <v>0</v>
      </c>
      <c r="BS41" s="186">
        <f t="shared" si="2"/>
        <v>-2003.1</v>
      </c>
      <c r="BT41" s="186"/>
      <c r="BU41" s="186"/>
      <c r="BV41" s="186"/>
      <c r="BW41" s="236"/>
      <c r="BX41" s="236"/>
    </row>
    <row r="42" spans="1:76" s="19" customFormat="1" ht="62.25" customHeight="1" outlineLevel="2" x14ac:dyDescent="0.25">
      <c r="A42" s="18"/>
      <c r="B42" s="21" t="s">
        <v>280</v>
      </c>
      <c r="C42" s="20" t="s">
        <v>34</v>
      </c>
      <c r="D42" s="171"/>
      <c r="E42" s="98"/>
      <c r="F42" s="98">
        <f>198.6-64</f>
        <v>134.6</v>
      </c>
      <c r="G42" s="98"/>
      <c r="H42" s="119"/>
      <c r="I42" s="98"/>
      <c r="J42" s="119">
        <v>33.4</v>
      </c>
      <c r="K42" s="98"/>
      <c r="L42" s="67">
        <f t="shared" si="60"/>
        <v>33.4</v>
      </c>
      <c r="M42" s="174" t="e">
        <f>L42+#REF!</f>
        <v>#REF!</v>
      </c>
      <c r="N42" s="176">
        <v>101.2</v>
      </c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6"/>
      <c r="AE42" s="176"/>
      <c r="AF42" s="176">
        <v>33.4</v>
      </c>
      <c r="AG42" s="176"/>
      <c r="AH42" s="176">
        <f t="shared" si="58"/>
        <v>0</v>
      </c>
      <c r="AI42" s="176"/>
      <c r="AJ42" s="176"/>
      <c r="AK42" s="176"/>
      <c r="AL42" s="176">
        <f t="shared" si="57"/>
        <v>0</v>
      </c>
      <c r="AM42" s="176">
        <f t="shared" si="57"/>
        <v>0</v>
      </c>
      <c r="AN42" s="174"/>
      <c r="AO42" s="176">
        <f t="shared" si="59"/>
        <v>0</v>
      </c>
      <c r="AP42" s="176">
        <f t="shared" si="59"/>
        <v>0</v>
      </c>
      <c r="AQ42" s="176">
        <f t="shared" si="59"/>
        <v>0</v>
      </c>
      <c r="AR42" s="176">
        <f t="shared" si="59"/>
        <v>0</v>
      </c>
      <c r="AS42" s="174"/>
      <c r="AT42" s="174"/>
      <c r="AU42" s="174"/>
      <c r="AV42" s="174"/>
      <c r="AW42" s="174"/>
      <c r="AX42" s="174"/>
      <c r="AY42" s="174"/>
      <c r="AZ42" s="174"/>
      <c r="BA42" s="174"/>
      <c r="BB42" s="176"/>
      <c r="BC42" s="174"/>
      <c r="BD42" s="176"/>
      <c r="BE42" s="174"/>
      <c r="BF42" s="176"/>
      <c r="BG42" s="174"/>
      <c r="BH42" s="176"/>
      <c r="BI42" s="176"/>
      <c r="BJ42" s="174"/>
      <c r="BK42" s="174"/>
      <c r="BL42" s="236">
        <f t="shared" si="54"/>
        <v>0</v>
      </c>
      <c r="BM42" s="174"/>
      <c r="BN42" s="174"/>
      <c r="BO42" s="174"/>
      <c r="BP42" s="66"/>
      <c r="BQ42" s="102">
        <f t="shared" si="1"/>
        <v>0</v>
      </c>
      <c r="BR42" s="186">
        <f t="shared" si="36"/>
        <v>0</v>
      </c>
      <c r="BS42" s="186">
        <f t="shared" si="2"/>
        <v>-33.4</v>
      </c>
      <c r="BT42" s="186"/>
      <c r="BU42" s="186"/>
      <c r="BV42" s="186"/>
      <c r="BW42" s="236"/>
      <c r="BX42" s="236"/>
    </row>
    <row r="43" spans="1:76" s="19" customFormat="1" ht="49.5" customHeight="1" outlineLevel="2" x14ac:dyDescent="0.25">
      <c r="A43" s="18"/>
      <c r="B43" s="9" t="s">
        <v>264</v>
      </c>
      <c r="C43" s="20" t="s">
        <v>251</v>
      </c>
      <c r="D43" s="171"/>
      <c r="E43" s="98">
        <v>107102.9</v>
      </c>
      <c r="F43" s="98">
        <f t="shared" ref="F43:F44" si="61">E43</f>
        <v>107102.9</v>
      </c>
      <c r="G43" s="98"/>
      <c r="H43" s="119"/>
      <c r="I43" s="98"/>
      <c r="J43" s="119"/>
      <c r="K43" s="98"/>
      <c r="L43" s="67">
        <f t="shared" si="60"/>
        <v>0</v>
      </c>
      <c r="M43" s="174" t="e">
        <f>L43+#REF!</f>
        <v>#REF!</v>
      </c>
      <c r="N43" s="176">
        <v>107102.9</v>
      </c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6"/>
      <c r="AE43" s="176">
        <v>103593.3</v>
      </c>
      <c r="AF43" s="176">
        <v>103593.3</v>
      </c>
      <c r="AG43" s="176"/>
      <c r="AH43" s="176">
        <f t="shared" si="58"/>
        <v>103593.3</v>
      </c>
      <c r="AI43" s="176">
        <f t="shared" ref="AI43:AK62" si="62">AZ43</f>
        <v>0</v>
      </c>
      <c r="AJ43" s="176">
        <f t="shared" si="62"/>
        <v>0</v>
      </c>
      <c r="AK43" s="176">
        <f t="shared" si="62"/>
        <v>103593.3</v>
      </c>
      <c r="AL43" s="176">
        <f t="shared" si="57"/>
        <v>0</v>
      </c>
      <c r="AM43" s="176">
        <f t="shared" si="57"/>
        <v>0</v>
      </c>
      <c r="AN43" s="174"/>
      <c r="AO43" s="176">
        <f t="shared" si="59"/>
        <v>0</v>
      </c>
      <c r="AP43" s="176">
        <f t="shared" si="59"/>
        <v>0</v>
      </c>
      <c r="AQ43" s="176">
        <f t="shared" si="59"/>
        <v>0</v>
      </c>
      <c r="AR43" s="176">
        <f t="shared" si="59"/>
        <v>0</v>
      </c>
      <c r="AS43" s="174"/>
      <c r="AT43" s="174"/>
      <c r="AU43" s="174"/>
      <c r="AV43" s="174"/>
      <c r="AW43" s="174"/>
      <c r="AX43" s="174"/>
      <c r="AY43" s="174"/>
      <c r="AZ43" s="174">
        <f t="shared" si="28"/>
        <v>0</v>
      </c>
      <c r="BA43" s="174"/>
      <c r="BB43" s="176">
        <v>103593.3</v>
      </c>
      <c r="BC43" s="174"/>
      <c r="BD43" s="176"/>
      <c r="BE43" s="174"/>
      <c r="BF43" s="176"/>
      <c r="BG43" s="174"/>
      <c r="BH43" s="176"/>
      <c r="BI43" s="176"/>
      <c r="BJ43" s="174"/>
      <c r="BK43" s="174"/>
      <c r="BL43" s="236">
        <f t="shared" si="54"/>
        <v>103593.3</v>
      </c>
      <c r="BM43" s="174"/>
      <c r="BN43" s="174"/>
      <c r="BO43" s="174"/>
      <c r="BP43" s="66">
        <f t="shared" si="41"/>
        <v>100</v>
      </c>
      <c r="BQ43" s="102">
        <f t="shared" si="1"/>
        <v>0</v>
      </c>
      <c r="BR43" s="186">
        <f t="shared" si="36"/>
        <v>100</v>
      </c>
      <c r="BS43" s="186">
        <f t="shared" si="2"/>
        <v>0</v>
      </c>
      <c r="BT43" s="186"/>
      <c r="BU43" s="186"/>
      <c r="BV43" s="186"/>
      <c r="BW43" s="236"/>
      <c r="BX43" s="236"/>
    </row>
    <row r="44" spans="1:76" s="19" customFormat="1" ht="50.25" customHeight="1" outlineLevel="2" x14ac:dyDescent="0.25">
      <c r="A44" s="18"/>
      <c r="B44" s="9" t="s">
        <v>263</v>
      </c>
      <c r="C44" s="20" t="s">
        <v>252</v>
      </c>
      <c r="D44" s="171"/>
      <c r="E44" s="98">
        <v>4462.6000000000004</v>
      </c>
      <c r="F44" s="98">
        <f t="shared" si="61"/>
        <v>4462.6000000000004</v>
      </c>
      <c r="G44" s="98"/>
      <c r="H44" s="119"/>
      <c r="I44" s="98"/>
      <c r="J44" s="119"/>
      <c r="K44" s="98"/>
      <c r="L44" s="67">
        <f t="shared" si="60"/>
        <v>0</v>
      </c>
      <c r="M44" s="174" t="e">
        <f>L44+#REF!</f>
        <v>#REF!</v>
      </c>
      <c r="N44" s="176">
        <v>4462.6000000000004</v>
      </c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6"/>
      <c r="AE44" s="176">
        <v>4316.3999999999996</v>
      </c>
      <c r="AF44" s="176">
        <v>4316.3999999999996</v>
      </c>
      <c r="AG44" s="176"/>
      <c r="AH44" s="176">
        <f t="shared" si="58"/>
        <v>4316.3999999999996</v>
      </c>
      <c r="AI44" s="176">
        <f t="shared" si="62"/>
        <v>0</v>
      </c>
      <c r="AJ44" s="176">
        <f t="shared" si="62"/>
        <v>0</v>
      </c>
      <c r="AK44" s="176">
        <f t="shared" si="62"/>
        <v>4316.3999999999996</v>
      </c>
      <c r="AL44" s="176">
        <f t="shared" si="57"/>
        <v>0</v>
      </c>
      <c r="AM44" s="176">
        <f t="shared" si="57"/>
        <v>0</v>
      </c>
      <c r="AN44" s="174"/>
      <c r="AO44" s="176">
        <f t="shared" si="59"/>
        <v>0</v>
      </c>
      <c r="AP44" s="176">
        <f t="shared" si="59"/>
        <v>0</v>
      </c>
      <c r="AQ44" s="176">
        <f t="shared" si="59"/>
        <v>0</v>
      </c>
      <c r="AR44" s="176">
        <f t="shared" si="59"/>
        <v>0</v>
      </c>
      <c r="AS44" s="174"/>
      <c r="AT44" s="174"/>
      <c r="AU44" s="174"/>
      <c r="AV44" s="174"/>
      <c r="AW44" s="174"/>
      <c r="AX44" s="174"/>
      <c r="AY44" s="174"/>
      <c r="AZ44" s="174">
        <f t="shared" si="28"/>
        <v>0</v>
      </c>
      <c r="BA44" s="174"/>
      <c r="BB44" s="176">
        <v>4316.3999999999996</v>
      </c>
      <c r="BC44" s="174"/>
      <c r="BD44" s="176"/>
      <c r="BE44" s="174"/>
      <c r="BF44" s="176"/>
      <c r="BG44" s="174"/>
      <c r="BH44" s="176"/>
      <c r="BI44" s="176"/>
      <c r="BJ44" s="174"/>
      <c r="BK44" s="174"/>
      <c r="BL44" s="236">
        <f t="shared" si="54"/>
        <v>4316.3999999999996</v>
      </c>
      <c r="BM44" s="174"/>
      <c r="BN44" s="174"/>
      <c r="BO44" s="174"/>
      <c r="BP44" s="66">
        <f t="shared" si="41"/>
        <v>100</v>
      </c>
      <c r="BQ44" s="102">
        <f t="shared" si="1"/>
        <v>0</v>
      </c>
      <c r="BR44" s="186">
        <f t="shared" si="36"/>
        <v>100</v>
      </c>
      <c r="BS44" s="186">
        <f t="shared" si="2"/>
        <v>0</v>
      </c>
      <c r="BT44" s="186"/>
      <c r="BU44" s="186"/>
      <c r="BV44" s="186"/>
      <c r="BW44" s="236"/>
      <c r="BX44" s="236"/>
    </row>
    <row r="45" spans="1:76" s="136" customFormat="1" ht="45" outlineLevel="7" x14ac:dyDescent="0.25">
      <c r="A45" s="8" t="s">
        <v>117</v>
      </c>
      <c r="B45" s="9" t="s">
        <v>139</v>
      </c>
      <c r="C45" s="10" t="s">
        <v>118</v>
      </c>
      <c r="D45" s="68"/>
      <c r="E45" s="66">
        <v>5880.3</v>
      </c>
      <c r="F45" s="98">
        <v>5727</v>
      </c>
      <c r="G45" s="66"/>
      <c r="H45" s="67"/>
      <c r="I45" s="66">
        <v>549.70000000000005</v>
      </c>
      <c r="J45" s="67"/>
      <c r="K45" s="66"/>
      <c r="L45" s="67">
        <f t="shared" si="60"/>
        <v>549.70000000000005</v>
      </c>
      <c r="M45" s="174" t="e">
        <f>L45+#REF!</f>
        <v>#REF!</v>
      </c>
      <c r="N45" s="176">
        <v>5727</v>
      </c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6"/>
      <c r="AE45" s="176">
        <v>5878.5</v>
      </c>
      <c r="AF45" s="176">
        <v>5878.5</v>
      </c>
      <c r="AG45" s="176"/>
      <c r="AH45" s="176">
        <f t="shared" si="58"/>
        <v>5878.4999999999991</v>
      </c>
      <c r="AI45" s="176">
        <f t="shared" si="62"/>
        <v>0</v>
      </c>
      <c r="AJ45" s="176">
        <f t="shared" si="62"/>
        <v>1180</v>
      </c>
      <c r="AK45" s="176">
        <f t="shared" si="62"/>
        <v>561</v>
      </c>
      <c r="AL45" s="176">
        <f t="shared" si="57"/>
        <v>701.2</v>
      </c>
      <c r="AM45" s="176">
        <f t="shared" si="57"/>
        <v>701.2</v>
      </c>
      <c r="AN45" s="174"/>
      <c r="AO45" s="176">
        <f t="shared" si="59"/>
        <v>0</v>
      </c>
      <c r="AP45" s="176">
        <f t="shared" si="59"/>
        <v>368.2</v>
      </c>
      <c r="AQ45" s="176">
        <f t="shared" si="59"/>
        <v>368.1</v>
      </c>
      <c r="AR45" s="176">
        <f t="shared" si="59"/>
        <v>701.3</v>
      </c>
      <c r="AS45" s="176">
        <f>BJ45</f>
        <v>631.29999999999995</v>
      </c>
      <c r="AT45" s="174"/>
      <c r="AU45" s="174"/>
      <c r="AV45" s="174"/>
      <c r="AW45" s="174"/>
      <c r="AX45" s="174"/>
      <c r="AY45" s="174"/>
      <c r="AZ45" s="174">
        <f t="shared" si="28"/>
        <v>0</v>
      </c>
      <c r="BA45" s="174">
        <v>1180</v>
      </c>
      <c r="BB45" s="176">
        <v>561</v>
      </c>
      <c r="BC45" s="176">
        <v>701.2</v>
      </c>
      <c r="BD45" s="176">
        <v>701.2</v>
      </c>
      <c r="BE45" s="174"/>
      <c r="BF45" s="176"/>
      <c r="BG45" s="174">
        <v>368.2</v>
      </c>
      <c r="BH45" s="176">
        <v>368.1</v>
      </c>
      <c r="BI45" s="176">
        <v>701.3</v>
      </c>
      <c r="BJ45" s="176">
        <v>631.29999999999995</v>
      </c>
      <c r="BK45" s="176">
        <v>666.2</v>
      </c>
      <c r="BL45" s="236">
        <f t="shared" si="54"/>
        <v>5878.4999999999991</v>
      </c>
      <c r="BM45" s="174"/>
      <c r="BN45" s="174"/>
      <c r="BO45" s="174"/>
      <c r="BP45" s="66">
        <f t="shared" si="41"/>
        <v>99.999999999999986</v>
      </c>
      <c r="BQ45" s="102">
        <f t="shared" si="1"/>
        <v>0</v>
      </c>
      <c r="BR45" s="186">
        <f t="shared" si="36"/>
        <v>99.999999999999986</v>
      </c>
      <c r="BS45" s="186">
        <f t="shared" si="2"/>
        <v>0</v>
      </c>
      <c r="BT45" s="186"/>
      <c r="BU45" s="186"/>
      <c r="BV45" s="186"/>
      <c r="BW45" s="236"/>
      <c r="BX45" s="236"/>
    </row>
    <row r="46" spans="1:76" s="136" customFormat="1" ht="45" outlineLevel="7" x14ac:dyDescent="0.25">
      <c r="A46" s="8" t="s">
        <v>36</v>
      </c>
      <c r="B46" s="9" t="s">
        <v>115</v>
      </c>
      <c r="C46" s="10" t="s">
        <v>37</v>
      </c>
      <c r="D46" s="68"/>
      <c r="E46" s="66">
        <v>1856.9</v>
      </c>
      <c r="F46" s="98">
        <v>1808.5</v>
      </c>
      <c r="G46" s="66"/>
      <c r="H46" s="67"/>
      <c r="I46" s="66">
        <v>173.6</v>
      </c>
      <c r="J46" s="67"/>
      <c r="K46" s="66"/>
      <c r="L46" s="67">
        <f t="shared" si="60"/>
        <v>173.6</v>
      </c>
      <c r="M46" s="174" t="e">
        <f>L46+#REF!</f>
        <v>#REF!</v>
      </c>
      <c r="N46" s="176">
        <v>1808.5</v>
      </c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6"/>
      <c r="AE46" s="176">
        <v>1856.4</v>
      </c>
      <c r="AF46" s="176">
        <v>1856.4</v>
      </c>
      <c r="AG46" s="176"/>
      <c r="AH46" s="176">
        <f t="shared" si="58"/>
        <v>1856.3</v>
      </c>
      <c r="AI46" s="176">
        <f t="shared" si="62"/>
        <v>0</v>
      </c>
      <c r="AJ46" s="176">
        <f t="shared" si="62"/>
        <v>372.6</v>
      </c>
      <c r="AK46" s="176">
        <f t="shared" si="62"/>
        <v>177.2</v>
      </c>
      <c r="AL46" s="176">
        <f t="shared" si="57"/>
        <v>221.4</v>
      </c>
      <c r="AM46" s="176">
        <f t="shared" si="57"/>
        <v>221.5</v>
      </c>
      <c r="AN46" s="174"/>
      <c r="AO46" s="176">
        <f t="shared" si="59"/>
        <v>0</v>
      </c>
      <c r="AP46" s="176">
        <f t="shared" si="59"/>
        <v>116.2</v>
      </c>
      <c r="AQ46" s="176">
        <f t="shared" si="59"/>
        <v>116.3</v>
      </c>
      <c r="AR46" s="176">
        <f t="shared" si="59"/>
        <v>221.4</v>
      </c>
      <c r="AS46" s="176">
        <f>BJ46</f>
        <v>199.4</v>
      </c>
      <c r="AT46" s="174"/>
      <c r="AU46" s="174"/>
      <c r="AV46" s="174"/>
      <c r="AW46" s="174"/>
      <c r="AX46" s="174"/>
      <c r="AY46" s="174"/>
      <c r="AZ46" s="174">
        <f t="shared" si="28"/>
        <v>0</v>
      </c>
      <c r="BA46" s="174">
        <v>372.6</v>
      </c>
      <c r="BB46" s="176">
        <v>177.2</v>
      </c>
      <c r="BC46" s="176">
        <v>221.4</v>
      </c>
      <c r="BD46" s="176">
        <v>221.5</v>
      </c>
      <c r="BE46" s="174"/>
      <c r="BF46" s="176"/>
      <c r="BG46" s="174">
        <v>116.2</v>
      </c>
      <c r="BH46" s="176">
        <v>116.3</v>
      </c>
      <c r="BI46" s="176">
        <v>221.4</v>
      </c>
      <c r="BJ46" s="176">
        <v>199.4</v>
      </c>
      <c r="BK46" s="176">
        <v>210.3</v>
      </c>
      <c r="BL46" s="236">
        <f t="shared" si="54"/>
        <v>1856.3</v>
      </c>
      <c r="BM46" s="174"/>
      <c r="BN46" s="174"/>
      <c r="BO46" s="174"/>
      <c r="BP46" s="66">
        <f t="shared" si="41"/>
        <v>99.99461322990733</v>
      </c>
      <c r="BQ46" s="102">
        <f t="shared" si="1"/>
        <v>-0.10000000000013642</v>
      </c>
      <c r="BR46" s="186">
        <f t="shared" si="36"/>
        <v>99.99461322990733</v>
      </c>
      <c r="BS46" s="186">
        <f t="shared" si="2"/>
        <v>-0.10000000000013642</v>
      </c>
      <c r="BT46" s="186"/>
      <c r="BU46" s="186"/>
      <c r="BV46" s="186"/>
      <c r="BW46" s="236"/>
      <c r="BX46" s="236"/>
    </row>
    <row r="47" spans="1:76" s="136" customFormat="1" ht="75" outlineLevel="7" x14ac:dyDescent="0.25">
      <c r="A47" s="8" t="s">
        <v>39</v>
      </c>
      <c r="B47" s="9" t="s">
        <v>119</v>
      </c>
      <c r="C47" s="10" t="s">
        <v>328</v>
      </c>
      <c r="D47" s="68"/>
      <c r="E47" s="66">
        <v>979.4</v>
      </c>
      <c r="F47" s="98">
        <f t="shared" ref="F47:F55" si="63">E47</f>
        <v>979.4</v>
      </c>
      <c r="G47" s="66"/>
      <c r="H47" s="67"/>
      <c r="I47" s="66"/>
      <c r="J47" s="67"/>
      <c r="K47" s="66"/>
      <c r="L47" s="67">
        <f t="shared" si="60"/>
        <v>0</v>
      </c>
      <c r="M47" s="174" t="e">
        <f>L47+#REF!</f>
        <v>#REF!</v>
      </c>
      <c r="N47" s="176">
        <v>979.4</v>
      </c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6"/>
      <c r="AE47" s="176">
        <v>908.8</v>
      </c>
      <c r="AF47" s="176">
        <v>885.2</v>
      </c>
      <c r="AG47" s="176"/>
      <c r="AH47" s="176">
        <f t="shared" si="58"/>
        <v>885.2</v>
      </c>
      <c r="AI47" s="176"/>
      <c r="AJ47" s="176"/>
      <c r="AK47" s="176"/>
      <c r="AL47" s="176">
        <f t="shared" si="57"/>
        <v>0</v>
      </c>
      <c r="AM47" s="176">
        <f t="shared" si="57"/>
        <v>813.6</v>
      </c>
      <c r="AN47" s="176">
        <f>BE47</f>
        <v>71.599999999999994</v>
      </c>
      <c r="AO47" s="176">
        <f t="shared" si="59"/>
        <v>0</v>
      </c>
      <c r="AP47" s="176">
        <f t="shared" si="59"/>
        <v>0</v>
      </c>
      <c r="AQ47" s="176">
        <f t="shared" si="59"/>
        <v>0</v>
      </c>
      <c r="AR47" s="176">
        <f t="shared" si="59"/>
        <v>0</v>
      </c>
      <c r="AS47" s="176"/>
      <c r="AT47" s="176"/>
      <c r="AU47" s="176"/>
      <c r="AV47" s="176"/>
      <c r="AW47" s="176"/>
      <c r="AX47" s="176"/>
      <c r="AY47" s="176"/>
      <c r="AZ47" s="176">
        <f t="shared" si="28"/>
        <v>0</v>
      </c>
      <c r="BA47" s="176"/>
      <c r="BB47" s="176"/>
      <c r="BC47" s="176"/>
      <c r="BD47" s="176">
        <v>813.6</v>
      </c>
      <c r="BE47" s="176">
        <v>71.599999999999994</v>
      </c>
      <c r="BF47" s="176"/>
      <c r="BG47" s="174"/>
      <c r="BH47" s="176"/>
      <c r="BI47" s="176"/>
      <c r="BJ47" s="174"/>
      <c r="BK47" s="174"/>
      <c r="BL47" s="236">
        <f t="shared" si="54"/>
        <v>885.2</v>
      </c>
      <c r="BM47" s="174"/>
      <c r="BN47" s="174"/>
      <c r="BO47" s="174"/>
      <c r="BP47" s="66">
        <f t="shared" si="41"/>
        <v>97.403169014084511</v>
      </c>
      <c r="BQ47" s="102">
        <f t="shared" si="1"/>
        <v>-23.599999999999909</v>
      </c>
      <c r="BR47" s="186">
        <f t="shared" si="36"/>
        <v>100</v>
      </c>
      <c r="BS47" s="186">
        <f t="shared" si="2"/>
        <v>0</v>
      </c>
      <c r="BT47" s="186"/>
      <c r="BU47" s="186"/>
      <c r="BV47" s="186"/>
      <c r="BW47" s="236"/>
      <c r="BX47" s="236"/>
    </row>
    <row r="48" spans="1:76" s="136" customFormat="1" ht="63" customHeight="1" outlineLevel="7" x14ac:dyDescent="0.25">
      <c r="A48" s="8" t="s">
        <v>40</v>
      </c>
      <c r="B48" s="9" t="s">
        <v>120</v>
      </c>
      <c r="C48" s="10" t="s">
        <v>41</v>
      </c>
      <c r="D48" s="68"/>
      <c r="E48" s="66">
        <v>309.3</v>
      </c>
      <c r="F48" s="98">
        <f t="shared" si="63"/>
        <v>309.3</v>
      </c>
      <c r="G48" s="66"/>
      <c r="H48" s="67"/>
      <c r="I48" s="66"/>
      <c r="J48" s="67"/>
      <c r="K48" s="66"/>
      <c r="L48" s="67">
        <f t="shared" si="60"/>
        <v>0</v>
      </c>
      <c r="M48" s="174" t="e">
        <f>L48+#REF!</f>
        <v>#REF!</v>
      </c>
      <c r="N48" s="176">
        <v>309.3</v>
      </c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6"/>
      <c r="AE48" s="176">
        <v>287</v>
      </c>
      <c r="AF48" s="176">
        <v>279.5</v>
      </c>
      <c r="AG48" s="176"/>
      <c r="AH48" s="176">
        <f t="shared" si="58"/>
        <v>279.5</v>
      </c>
      <c r="AI48" s="176"/>
      <c r="AJ48" s="176"/>
      <c r="AK48" s="176"/>
      <c r="AL48" s="176">
        <f t="shared" si="57"/>
        <v>282.89999999999998</v>
      </c>
      <c r="AM48" s="176">
        <f t="shared" si="57"/>
        <v>68.2</v>
      </c>
      <c r="AN48" s="176">
        <f>BE48</f>
        <v>-71.599999999999994</v>
      </c>
      <c r="AO48" s="176">
        <f t="shared" si="59"/>
        <v>0</v>
      </c>
      <c r="AP48" s="176">
        <f t="shared" si="59"/>
        <v>0</v>
      </c>
      <c r="AQ48" s="176">
        <f t="shared" si="59"/>
        <v>0</v>
      </c>
      <c r="AR48" s="176">
        <f t="shared" si="59"/>
        <v>0</v>
      </c>
      <c r="AS48" s="176"/>
      <c r="AT48" s="176"/>
      <c r="AU48" s="176"/>
      <c r="AV48" s="176"/>
      <c r="AW48" s="176"/>
      <c r="AX48" s="176"/>
      <c r="AY48" s="176"/>
      <c r="AZ48" s="176">
        <f t="shared" si="28"/>
        <v>0</v>
      </c>
      <c r="BA48" s="176"/>
      <c r="BB48" s="176"/>
      <c r="BC48" s="176">
        <v>282.89999999999998</v>
      </c>
      <c r="BD48" s="176">
        <v>68.2</v>
      </c>
      <c r="BE48" s="176">
        <v>-71.599999999999994</v>
      </c>
      <c r="BF48" s="176"/>
      <c r="BG48" s="174"/>
      <c r="BH48" s="174"/>
      <c r="BI48" s="176"/>
      <c r="BJ48" s="174"/>
      <c r="BK48" s="174"/>
      <c r="BL48" s="236">
        <f t="shared" si="54"/>
        <v>279.5</v>
      </c>
      <c r="BM48" s="174"/>
      <c r="BN48" s="174"/>
      <c r="BO48" s="174"/>
      <c r="BP48" s="66">
        <f t="shared" si="41"/>
        <v>97.386759581881535</v>
      </c>
      <c r="BQ48" s="102">
        <f t="shared" si="1"/>
        <v>-7.5</v>
      </c>
      <c r="BR48" s="186">
        <f t="shared" si="36"/>
        <v>100</v>
      </c>
      <c r="BS48" s="186">
        <f t="shared" si="2"/>
        <v>0</v>
      </c>
      <c r="BT48" s="186"/>
      <c r="BU48" s="186"/>
      <c r="BV48" s="186"/>
      <c r="BW48" s="236"/>
      <c r="BX48" s="236"/>
    </row>
    <row r="49" spans="1:76" s="136" customFormat="1" ht="76.5" customHeight="1" outlineLevel="7" x14ac:dyDescent="0.25">
      <c r="A49" s="8" t="s">
        <v>42</v>
      </c>
      <c r="B49" s="9" t="s">
        <v>44</v>
      </c>
      <c r="C49" s="10" t="s">
        <v>43</v>
      </c>
      <c r="D49" s="68"/>
      <c r="E49" s="66">
        <v>129.1</v>
      </c>
      <c r="F49" s="98">
        <v>283.2</v>
      </c>
      <c r="G49" s="66"/>
      <c r="H49" s="67"/>
      <c r="I49" s="66"/>
      <c r="J49" s="67"/>
      <c r="K49" s="66"/>
      <c r="L49" s="67">
        <f t="shared" si="60"/>
        <v>0</v>
      </c>
      <c r="M49" s="174" t="e">
        <f>L49+#REF!</f>
        <v>#REF!</v>
      </c>
      <c r="N49" s="176">
        <v>283.2</v>
      </c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6"/>
      <c r="AE49" s="176">
        <v>142.4</v>
      </c>
      <c r="AF49" s="176">
        <v>237.2</v>
      </c>
      <c r="AG49" s="176"/>
      <c r="AH49" s="176">
        <f t="shared" si="58"/>
        <v>237.2</v>
      </c>
      <c r="AI49" s="176"/>
      <c r="AJ49" s="176"/>
      <c r="AK49" s="176"/>
      <c r="AL49" s="176">
        <f t="shared" si="57"/>
        <v>0</v>
      </c>
      <c r="AM49" s="176">
        <f t="shared" si="57"/>
        <v>237.2</v>
      </c>
      <c r="AN49" s="174"/>
      <c r="AO49" s="176">
        <f t="shared" si="59"/>
        <v>0</v>
      </c>
      <c r="AP49" s="176">
        <f t="shared" si="59"/>
        <v>0</v>
      </c>
      <c r="AQ49" s="176">
        <f t="shared" si="59"/>
        <v>0</v>
      </c>
      <c r="AR49" s="176">
        <f t="shared" si="59"/>
        <v>0</v>
      </c>
      <c r="AS49" s="174"/>
      <c r="AT49" s="174"/>
      <c r="AU49" s="174"/>
      <c r="AV49" s="174"/>
      <c r="AW49" s="174"/>
      <c r="AX49" s="174"/>
      <c r="AY49" s="174"/>
      <c r="AZ49" s="174">
        <f t="shared" si="28"/>
        <v>0</v>
      </c>
      <c r="BA49" s="174"/>
      <c r="BB49" s="176"/>
      <c r="BC49" s="174"/>
      <c r="BD49" s="176">
        <v>237.2</v>
      </c>
      <c r="BE49" s="174"/>
      <c r="BF49" s="176"/>
      <c r="BG49" s="174"/>
      <c r="BH49" s="174"/>
      <c r="BI49" s="176"/>
      <c r="BJ49" s="174"/>
      <c r="BK49" s="174"/>
      <c r="BL49" s="236">
        <f t="shared" si="54"/>
        <v>237.2</v>
      </c>
      <c r="BM49" s="174"/>
      <c r="BN49" s="174"/>
      <c r="BO49" s="174"/>
      <c r="BP49" s="66">
        <f t="shared" si="41"/>
        <v>166.57303370786516</v>
      </c>
      <c r="BQ49" s="102">
        <f t="shared" si="1"/>
        <v>94.799999999999983</v>
      </c>
      <c r="BR49" s="186">
        <f t="shared" si="36"/>
        <v>100</v>
      </c>
      <c r="BS49" s="186">
        <f t="shared" si="2"/>
        <v>0</v>
      </c>
      <c r="BT49" s="186"/>
      <c r="BU49" s="186"/>
      <c r="BV49" s="186"/>
      <c r="BW49" s="236"/>
      <c r="BX49" s="236"/>
    </row>
    <row r="50" spans="1:76" s="136" customFormat="1" ht="89.25" customHeight="1" outlineLevel="7" x14ac:dyDescent="0.25">
      <c r="A50" s="8" t="s">
        <v>45</v>
      </c>
      <c r="B50" s="9" t="s">
        <v>121</v>
      </c>
      <c r="C50" s="10" t="s">
        <v>46</v>
      </c>
      <c r="D50" s="68"/>
      <c r="E50" s="66">
        <v>380.6</v>
      </c>
      <c r="F50" s="98">
        <v>835.3</v>
      </c>
      <c r="G50" s="66"/>
      <c r="H50" s="67"/>
      <c r="I50" s="66"/>
      <c r="J50" s="67"/>
      <c r="K50" s="66"/>
      <c r="L50" s="67">
        <f t="shared" si="60"/>
        <v>0</v>
      </c>
      <c r="M50" s="174" t="e">
        <f>L50+#REF!</f>
        <v>#REF!</v>
      </c>
      <c r="N50" s="176">
        <v>835.3</v>
      </c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6"/>
      <c r="AE50" s="176">
        <v>391.4</v>
      </c>
      <c r="AF50" s="176">
        <v>651.79999999999995</v>
      </c>
      <c r="AG50" s="176"/>
      <c r="AH50" s="176">
        <f t="shared" si="58"/>
        <v>651.79999999999995</v>
      </c>
      <c r="AI50" s="176"/>
      <c r="AJ50" s="176"/>
      <c r="AK50" s="176"/>
      <c r="AL50" s="176">
        <f t="shared" si="57"/>
        <v>0</v>
      </c>
      <c r="AM50" s="176">
        <f t="shared" si="57"/>
        <v>651.79999999999995</v>
      </c>
      <c r="AN50" s="174"/>
      <c r="AO50" s="176">
        <f t="shared" si="59"/>
        <v>0</v>
      </c>
      <c r="AP50" s="176">
        <f t="shared" si="59"/>
        <v>0</v>
      </c>
      <c r="AQ50" s="176">
        <f t="shared" si="59"/>
        <v>0</v>
      </c>
      <c r="AR50" s="176">
        <f t="shared" si="59"/>
        <v>0</v>
      </c>
      <c r="AS50" s="174"/>
      <c r="AT50" s="174"/>
      <c r="AU50" s="174"/>
      <c r="AV50" s="174"/>
      <c r="AW50" s="174"/>
      <c r="AX50" s="174"/>
      <c r="AY50" s="174"/>
      <c r="AZ50" s="174">
        <f t="shared" si="28"/>
        <v>0</v>
      </c>
      <c r="BA50" s="174"/>
      <c r="BB50" s="176"/>
      <c r="BC50" s="174"/>
      <c r="BD50" s="176">
        <v>651.79999999999995</v>
      </c>
      <c r="BE50" s="174"/>
      <c r="BF50" s="176"/>
      <c r="BG50" s="174"/>
      <c r="BH50" s="174"/>
      <c r="BI50" s="176"/>
      <c r="BJ50" s="174"/>
      <c r="BK50" s="174"/>
      <c r="BL50" s="236">
        <f t="shared" si="54"/>
        <v>651.79999999999995</v>
      </c>
      <c r="BM50" s="174"/>
      <c r="BN50" s="174"/>
      <c r="BO50" s="174"/>
      <c r="BP50" s="66">
        <f t="shared" si="41"/>
        <v>166.53040367910066</v>
      </c>
      <c r="BQ50" s="102">
        <f t="shared" si="1"/>
        <v>260.39999999999998</v>
      </c>
      <c r="BR50" s="186">
        <f t="shared" si="36"/>
        <v>100</v>
      </c>
      <c r="BS50" s="186">
        <f t="shared" si="2"/>
        <v>0</v>
      </c>
      <c r="BT50" s="186"/>
      <c r="BU50" s="186"/>
      <c r="BV50" s="186"/>
      <c r="BW50" s="236"/>
      <c r="BX50" s="236"/>
    </row>
    <row r="51" spans="1:76" s="136" customFormat="1" ht="46.5" customHeight="1" outlineLevel="7" x14ac:dyDescent="0.25">
      <c r="A51" s="8"/>
      <c r="B51" s="9" t="s">
        <v>226</v>
      </c>
      <c r="C51" s="10" t="s">
        <v>253</v>
      </c>
      <c r="D51" s="68"/>
      <c r="E51" s="66">
        <v>48.6</v>
      </c>
      <c r="F51" s="98">
        <v>49.9</v>
      </c>
      <c r="G51" s="66"/>
      <c r="H51" s="67"/>
      <c r="I51" s="66"/>
      <c r="J51" s="119"/>
      <c r="K51" s="66"/>
      <c r="L51" s="67">
        <f t="shared" si="60"/>
        <v>0</v>
      </c>
      <c r="M51" s="174" t="e">
        <f>L51+#REF!</f>
        <v>#REF!</v>
      </c>
      <c r="N51" s="176">
        <v>49.9</v>
      </c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6"/>
      <c r="AE51" s="176">
        <v>44.6</v>
      </c>
      <c r="AF51" s="176">
        <v>143.6</v>
      </c>
      <c r="AG51" s="176"/>
      <c r="AH51" s="176">
        <f t="shared" si="58"/>
        <v>143.6</v>
      </c>
      <c r="AI51" s="176">
        <f t="shared" si="62"/>
        <v>0</v>
      </c>
      <c r="AJ51" s="176">
        <f t="shared" si="62"/>
        <v>0</v>
      </c>
      <c r="AK51" s="176">
        <f t="shared" si="62"/>
        <v>43.6</v>
      </c>
      <c r="AL51" s="176">
        <f t="shared" si="57"/>
        <v>100</v>
      </c>
      <c r="AM51" s="176">
        <f t="shared" si="57"/>
        <v>0</v>
      </c>
      <c r="AN51" s="174"/>
      <c r="AO51" s="176">
        <f t="shared" si="59"/>
        <v>0</v>
      </c>
      <c r="AP51" s="176">
        <f t="shared" si="59"/>
        <v>0</v>
      </c>
      <c r="AQ51" s="176">
        <f t="shared" si="59"/>
        <v>0</v>
      </c>
      <c r="AR51" s="176">
        <f t="shared" si="59"/>
        <v>0</v>
      </c>
      <c r="AS51" s="174"/>
      <c r="AT51" s="174"/>
      <c r="AU51" s="174"/>
      <c r="AV51" s="174"/>
      <c r="AW51" s="174"/>
      <c r="AX51" s="174"/>
      <c r="AY51" s="174"/>
      <c r="AZ51" s="174">
        <f t="shared" si="28"/>
        <v>0</v>
      </c>
      <c r="BA51" s="176"/>
      <c r="BB51" s="176">
        <v>43.6</v>
      </c>
      <c r="BC51" s="176">
        <v>100</v>
      </c>
      <c r="BD51" s="176"/>
      <c r="BE51" s="174"/>
      <c r="BF51" s="176"/>
      <c r="BG51" s="174"/>
      <c r="BH51" s="174"/>
      <c r="BI51" s="176"/>
      <c r="BJ51" s="174"/>
      <c r="BK51" s="174"/>
      <c r="BL51" s="236">
        <f t="shared" si="54"/>
        <v>143.6</v>
      </c>
      <c r="BM51" s="174"/>
      <c r="BN51" s="174"/>
      <c r="BO51" s="174"/>
      <c r="BP51" s="66">
        <f t="shared" si="41"/>
        <v>321.97309417040356</v>
      </c>
      <c r="BQ51" s="102">
        <f t="shared" si="1"/>
        <v>99</v>
      </c>
      <c r="BR51" s="186">
        <f t="shared" si="36"/>
        <v>100</v>
      </c>
      <c r="BS51" s="186">
        <f t="shared" si="2"/>
        <v>0</v>
      </c>
      <c r="BT51" s="186"/>
      <c r="BU51" s="186"/>
      <c r="BV51" s="186"/>
      <c r="BW51" s="236"/>
      <c r="BX51" s="236"/>
    </row>
    <row r="52" spans="1:76" s="136" customFormat="1" ht="46.5" customHeight="1" outlineLevel="7" x14ac:dyDescent="0.25">
      <c r="A52" s="8"/>
      <c r="B52" s="9" t="s">
        <v>225</v>
      </c>
      <c r="C52" s="10" t="s">
        <v>52</v>
      </c>
      <c r="D52" s="68"/>
      <c r="E52" s="66">
        <v>15.3</v>
      </c>
      <c r="F52" s="98">
        <v>15.8</v>
      </c>
      <c r="G52" s="66"/>
      <c r="H52" s="67"/>
      <c r="I52" s="66">
        <v>0.1</v>
      </c>
      <c r="J52" s="119"/>
      <c r="K52" s="66"/>
      <c r="L52" s="67">
        <f t="shared" si="60"/>
        <v>0.1</v>
      </c>
      <c r="M52" s="174" t="e">
        <f>L52+#REF!</f>
        <v>#REF!</v>
      </c>
      <c r="N52" s="176">
        <v>15.8</v>
      </c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6"/>
      <c r="AE52" s="176">
        <v>14.1</v>
      </c>
      <c r="AF52" s="176">
        <v>45.3</v>
      </c>
      <c r="AG52" s="176"/>
      <c r="AH52" s="176">
        <f t="shared" si="58"/>
        <v>45.3</v>
      </c>
      <c r="AI52" s="176">
        <f t="shared" si="62"/>
        <v>0</v>
      </c>
      <c r="AJ52" s="176">
        <f t="shared" si="62"/>
        <v>0</v>
      </c>
      <c r="AK52" s="176">
        <f t="shared" si="62"/>
        <v>13.7</v>
      </c>
      <c r="AL52" s="176">
        <f t="shared" si="57"/>
        <v>31.6</v>
      </c>
      <c r="AM52" s="176">
        <f t="shared" si="57"/>
        <v>0</v>
      </c>
      <c r="AN52" s="174"/>
      <c r="AO52" s="176">
        <f t="shared" si="59"/>
        <v>0</v>
      </c>
      <c r="AP52" s="176">
        <f t="shared" si="59"/>
        <v>0</v>
      </c>
      <c r="AQ52" s="176">
        <f t="shared" si="59"/>
        <v>0</v>
      </c>
      <c r="AR52" s="176">
        <f t="shared" si="59"/>
        <v>0</v>
      </c>
      <c r="AS52" s="174"/>
      <c r="AT52" s="174"/>
      <c r="AU52" s="174"/>
      <c r="AV52" s="174"/>
      <c r="AW52" s="174"/>
      <c r="AX52" s="174"/>
      <c r="AY52" s="174"/>
      <c r="AZ52" s="174">
        <f t="shared" si="28"/>
        <v>0</v>
      </c>
      <c r="BA52" s="176"/>
      <c r="BB52" s="176">
        <v>13.7</v>
      </c>
      <c r="BC52" s="176">
        <v>31.6</v>
      </c>
      <c r="BD52" s="174"/>
      <c r="BE52" s="174"/>
      <c r="BF52" s="176"/>
      <c r="BG52" s="174"/>
      <c r="BH52" s="174"/>
      <c r="BI52" s="176"/>
      <c r="BJ52" s="174"/>
      <c r="BK52" s="174"/>
      <c r="BL52" s="236">
        <f t="shared" si="54"/>
        <v>45.3</v>
      </c>
      <c r="BM52" s="174"/>
      <c r="BN52" s="174"/>
      <c r="BO52" s="174"/>
      <c r="BP52" s="66">
        <f t="shared" si="41"/>
        <v>321.27659574468083</v>
      </c>
      <c r="BQ52" s="102">
        <f t="shared" si="1"/>
        <v>31.199999999999996</v>
      </c>
      <c r="BR52" s="186">
        <f t="shared" si="36"/>
        <v>100</v>
      </c>
      <c r="BS52" s="186">
        <f t="shared" si="2"/>
        <v>0</v>
      </c>
      <c r="BT52" s="186"/>
      <c r="BU52" s="186"/>
      <c r="BV52" s="186"/>
      <c r="BW52" s="236"/>
      <c r="BX52" s="236"/>
    </row>
    <row r="53" spans="1:76" s="136" customFormat="1" ht="44.25" customHeight="1" outlineLevel="7" x14ac:dyDescent="0.25">
      <c r="A53" s="8" t="s">
        <v>47</v>
      </c>
      <c r="B53" s="9" t="s">
        <v>123</v>
      </c>
      <c r="C53" s="10" t="s">
        <v>254</v>
      </c>
      <c r="D53" s="68"/>
      <c r="E53" s="66">
        <v>3806.4</v>
      </c>
      <c r="F53" s="98">
        <f t="shared" si="63"/>
        <v>3806.4</v>
      </c>
      <c r="G53" s="66">
        <v>757.8</v>
      </c>
      <c r="H53" s="67"/>
      <c r="I53" s="66"/>
      <c r="J53" s="67"/>
      <c r="K53" s="66"/>
      <c r="L53" s="67">
        <f t="shared" si="60"/>
        <v>757.8</v>
      </c>
      <c r="M53" s="174" t="e">
        <f>L53+#REF!</f>
        <v>#REF!</v>
      </c>
      <c r="N53" s="176">
        <v>3806.4</v>
      </c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6"/>
      <c r="AE53" s="176"/>
      <c r="AF53" s="176">
        <v>3460.4</v>
      </c>
      <c r="AG53" s="176"/>
      <c r="AH53" s="176">
        <f t="shared" si="58"/>
        <v>3460.4</v>
      </c>
      <c r="AI53" s="176"/>
      <c r="AJ53" s="176"/>
      <c r="AK53" s="176"/>
      <c r="AL53" s="176">
        <f t="shared" si="57"/>
        <v>0</v>
      </c>
      <c r="AM53" s="176">
        <f t="shared" si="57"/>
        <v>0</v>
      </c>
      <c r="AN53" s="176">
        <f>BE53</f>
        <v>2029.6</v>
      </c>
      <c r="AO53" s="176">
        <f t="shared" si="59"/>
        <v>0</v>
      </c>
      <c r="AP53" s="176">
        <f t="shared" si="59"/>
        <v>1430.7</v>
      </c>
      <c r="AQ53" s="176">
        <f t="shared" si="59"/>
        <v>0.1</v>
      </c>
      <c r="AR53" s="176">
        <f t="shared" si="59"/>
        <v>0</v>
      </c>
      <c r="AS53" s="176"/>
      <c r="AT53" s="176"/>
      <c r="AU53" s="176"/>
      <c r="AV53" s="176"/>
      <c r="AW53" s="176"/>
      <c r="AX53" s="176"/>
      <c r="AY53" s="176"/>
      <c r="AZ53" s="176">
        <f t="shared" si="28"/>
        <v>0</v>
      </c>
      <c r="BA53" s="176"/>
      <c r="BB53" s="176"/>
      <c r="BC53" s="176"/>
      <c r="BD53" s="176"/>
      <c r="BE53" s="176">
        <v>2029.6</v>
      </c>
      <c r="BF53" s="176"/>
      <c r="BG53" s="174">
        <v>1430.7</v>
      </c>
      <c r="BH53" s="176">
        <v>0.1</v>
      </c>
      <c r="BI53" s="176"/>
      <c r="BJ53" s="174"/>
      <c r="BK53" s="174"/>
      <c r="BL53" s="236">
        <f t="shared" si="54"/>
        <v>3460.4</v>
      </c>
      <c r="BM53" s="174"/>
      <c r="BN53" s="174"/>
      <c r="BO53" s="174"/>
      <c r="BP53" s="66"/>
      <c r="BQ53" s="102">
        <f t="shared" si="1"/>
        <v>3460.4</v>
      </c>
      <c r="BR53" s="186">
        <f t="shared" si="36"/>
        <v>100</v>
      </c>
      <c r="BS53" s="186">
        <f t="shared" si="2"/>
        <v>0</v>
      </c>
      <c r="BT53" s="186"/>
      <c r="BU53" s="186"/>
      <c r="BV53" s="186"/>
      <c r="BW53" s="236"/>
      <c r="BX53" s="236"/>
    </row>
    <row r="54" spans="1:76" s="136" customFormat="1" ht="45.75" outlineLevel="7" thickBot="1" x14ac:dyDescent="0.3">
      <c r="A54" s="8" t="s">
        <v>48</v>
      </c>
      <c r="B54" s="239" t="s">
        <v>122</v>
      </c>
      <c r="C54" s="282" t="s">
        <v>49</v>
      </c>
      <c r="D54" s="283"/>
      <c r="E54" s="264">
        <v>158.6</v>
      </c>
      <c r="F54" s="257">
        <f t="shared" si="63"/>
        <v>158.6</v>
      </c>
      <c r="G54" s="264">
        <v>-757.8</v>
      </c>
      <c r="H54" s="259"/>
      <c r="I54" s="264"/>
      <c r="J54" s="259"/>
      <c r="K54" s="264"/>
      <c r="L54" s="259">
        <f t="shared" si="60"/>
        <v>-757.8</v>
      </c>
      <c r="M54" s="260" t="e">
        <f>L54+#REF!</f>
        <v>#REF!</v>
      </c>
      <c r="N54" s="261">
        <v>158.6</v>
      </c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1"/>
      <c r="AE54" s="261">
        <v>151.69999999999999</v>
      </c>
      <c r="AF54" s="261">
        <v>144.19999999999999</v>
      </c>
      <c r="AG54" s="261"/>
      <c r="AH54" s="261">
        <f t="shared" si="58"/>
        <v>144.19999999999999</v>
      </c>
      <c r="AI54" s="261"/>
      <c r="AJ54" s="261"/>
      <c r="AK54" s="261"/>
      <c r="AL54" s="261">
        <f t="shared" ref="AL54:AN70" si="64">BC54</f>
        <v>0</v>
      </c>
      <c r="AM54" s="261">
        <f t="shared" si="64"/>
        <v>0</v>
      </c>
      <c r="AN54" s="261">
        <f t="shared" si="64"/>
        <v>84.6</v>
      </c>
      <c r="AO54" s="261">
        <f t="shared" si="59"/>
        <v>0</v>
      </c>
      <c r="AP54" s="176">
        <f t="shared" si="59"/>
        <v>59.6</v>
      </c>
      <c r="AQ54" s="176">
        <f t="shared" si="59"/>
        <v>0</v>
      </c>
      <c r="AR54" s="176">
        <f t="shared" si="59"/>
        <v>0</v>
      </c>
      <c r="AS54" s="261"/>
      <c r="AT54" s="261"/>
      <c r="AU54" s="261"/>
      <c r="AV54" s="261"/>
      <c r="AW54" s="261"/>
      <c r="AX54" s="261"/>
      <c r="AY54" s="261"/>
      <c r="AZ54" s="261">
        <f t="shared" si="28"/>
        <v>0</v>
      </c>
      <c r="BA54" s="261"/>
      <c r="BB54" s="261"/>
      <c r="BC54" s="261"/>
      <c r="BD54" s="261"/>
      <c r="BE54" s="261">
        <v>84.6</v>
      </c>
      <c r="BF54" s="261"/>
      <c r="BG54" s="260">
        <v>59.6</v>
      </c>
      <c r="BH54" s="260"/>
      <c r="BI54" s="261"/>
      <c r="BJ54" s="260"/>
      <c r="BK54" s="260"/>
      <c r="BL54" s="236">
        <f t="shared" si="54"/>
        <v>144.19999999999999</v>
      </c>
      <c r="BM54" s="260"/>
      <c r="BN54" s="260"/>
      <c r="BO54" s="260"/>
      <c r="BP54" s="66">
        <f t="shared" si="41"/>
        <v>95.056031641397496</v>
      </c>
      <c r="BQ54" s="102">
        <f t="shared" si="1"/>
        <v>-7.5</v>
      </c>
      <c r="BR54" s="186">
        <f t="shared" si="36"/>
        <v>100</v>
      </c>
      <c r="BS54" s="186">
        <f t="shared" si="2"/>
        <v>0</v>
      </c>
      <c r="BT54" s="186"/>
      <c r="BU54" s="186"/>
      <c r="BV54" s="300"/>
      <c r="BW54" s="284"/>
      <c r="BX54" s="284"/>
    </row>
    <row r="55" spans="1:76" s="136" customFormat="1" ht="47.25" hidden="1" customHeight="1" outlineLevel="7" x14ac:dyDescent="0.25">
      <c r="A55" s="8"/>
      <c r="B55" s="177" t="s">
        <v>140</v>
      </c>
      <c r="C55" s="247" t="s">
        <v>288</v>
      </c>
      <c r="D55" s="248"/>
      <c r="E55" s="249"/>
      <c r="F55" s="250">
        <f t="shared" si="63"/>
        <v>0</v>
      </c>
      <c r="G55" s="249"/>
      <c r="H55" s="251"/>
      <c r="I55" s="249"/>
      <c r="J55" s="251"/>
      <c r="K55" s="249"/>
      <c r="L55" s="251">
        <f t="shared" si="60"/>
        <v>0</v>
      </c>
      <c r="M55" s="252" t="e">
        <f>L55+#REF!</f>
        <v>#REF!</v>
      </c>
      <c r="N55" s="253">
        <v>0</v>
      </c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3"/>
      <c r="AE55" s="253"/>
      <c r="AF55" s="253"/>
      <c r="AG55" s="253"/>
      <c r="AH55" s="253">
        <f t="shared" si="58"/>
        <v>0</v>
      </c>
      <c r="AI55" s="253"/>
      <c r="AJ55" s="253"/>
      <c r="AK55" s="253"/>
      <c r="AL55" s="253">
        <f t="shared" si="64"/>
        <v>0</v>
      </c>
      <c r="AM55" s="253">
        <f t="shared" si="64"/>
        <v>0</v>
      </c>
      <c r="AN55" s="253">
        <f t="shared" si="64"/>
        <v>0</v>
      </c>
      <c r="AO55" s="253">
        <f t="shared" si="59"/>
        <v>0</v>
      </c>
      <c r="AP55" s="176">
        <f t="shared" si="59"/>
        <v>0</v>
      </c>
      <c r="AQ55" s="176">
        <f t="shared" si="59"/>
        <v>0</v>
      </c>
      <c r="AR55" s="176">
        <f t="shared" si="59"/>
        <v>0</v>
      </c>
      <c r="AS55" s="253"/>
      <c r="AT55" s="253"/>
      <c r="AU55" s="253"/>
      <c r="AV55" s="253"/>
      <c r="AW55" s="253"/>
      <c r="AX55" s="253"/>
      <c r="AY55" s="253"/>
      <c r="AZ55" s="253">
        <f t="shared" si="28"/>
        <v>0</v>
      </c>
      <c r="BA55" s="253"/>
      <c r="BB55" s="253"/>
      <c r="BC55" s="253"/>
      <c r="BD55" s="253"/>
      <c r="BE55" s="253"/>
      <c r="BF55" s="253"/>
      <c r="BG55" s="252"/>
      <c r="BH55" s="252"/>
      <c r="BI55" s="253"/>
      <c r="BJ55" s="252"/>
      <c r="BK55" s="252"/>
      <c r="BL55" s="236">
        <f t="shared" si="54"/>
        <v>0</v>
      </c>
      <c r="BM55" s="252"/>
      <c r="BN55" s="252"/>
      <c r="BO55" s="252"/>
      <c r="BP55" s="66" t="e">
        <f t="shared" si="41"/>
        <v>#DIV/0!</v>
      </c>
      <c r="BQ55" s="102">
        <f t="shared" si="1"/>
        <v>0</v>
      </c>
      <c r="BR55" s="186" t="e">
        <f t="shared" si="36"/>
        <v>#DIV/0!</v>
      </c>
      <c r="BS55" s="186">
        <f t="shared" si="2"/>
        <v>0</v>
      </c>
      <c r="BT55" s="186"/>
      <c r="BU55" s="186"/>
      <c r="BV55" s="299"/>
      <c r="BW55" s="254"/>
      <c r="BX55" s="254"/>
    </row>
    <row r="56" spans="1:76" s="19" customFormat="1" ht="59.25" hidden="1" customHeight="1" outlineLevel="2" thickBot="1" x14ac:dyDescent="0.3">
      <c r="A56" s="18"/>
      <c r="B56" s="180" t="s">
        <v>289</v>
      </c>
      <c r="C56" s="255" t="s">
        <v>273</v>
      </c>
      <c r="D56" s="256"/>
      <c r="E56" s="257"/>
      <c r="F56" s="257">
        <v>197.6</v>
      </c>
      <c r="G56" s="257"/>
      <c r="H56" s="258"/>
      <c r="I56" s="257"/>
      <c r="J56" s="258"/>
      <c r="K56" s="257"/>
      <c r="L56" s="259">
        <f>K56+J56+I56+H56+G56</f>
        <v>0</v>
      </c>
      <c r="M56" s="260" t="e">
        <f>L56+#REF!</f>
        <v>#REF!</v>
      </c>
      <c r="N56" s="261">
        <v>197.6</v>
      </c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1"/>
      <c r="AE56" s="261"/>
      <c r="AF56" s="261"/>
      <c r="AG56" s="285"/>
      <c r="AH56" s="176">
        <f t="shared" si="58"/>
        <v>0</v>
      </c>
      <c r="AI56" s="261"/>
      <c r="AJ56" s="261"/>
      <c r="AK56" s="176"/>
      <c r="AL56" s="176">
        <f t="shared" si="64"/>
        <v>0</v>
      </c>
      <c r="AM56" s="176">
        <f t="shared" si="64"/>
        <v>0</v>
      </c>
      <c r="AN56" s="176">
        <f t="shared" si="64"/>
        <v>0</v>
      </c>
      <c r="AO56" s="176">
        <f t="shared" si="59"/>
        <v>0</v>
      </c>
      <c r="AP56" s="176">
        <f t="shared" si="59"/>
        <v>0</v>
      </c>
      <c r="AQ56" s="176">
        <f t="shared" si="59"/>
        <v>0</v>
      </c>
      <c r="AR56" s="176">
        <f t="shared" si="59"/>
        <v>0</v>
      </c>
      <c r="AS56" s="261"/>
      <c r="AT56" s="261"/>
      <c r="AU56" s="261"/>
      <c r="AV56" s="261"/>
      <c r="AW56" s="261"/>
      <c r="AX56" s="261"/>
      <c r="AY56" s="261"/>
      <c r="AZ56" s="261">
        <f>AU56+AV56+AW56+AX56+AY56</f>
        <v>0</v>
      </c>
      <c r="BA56" s="261"/>
      <c r="BB56" s="176"/>
      <c r="BC56" s="176"/>
      <c r="BD56" s="176"/>
      <c r="BE56" s="176"/>
      <c r="BF56" s="176"/>
      <c r="BG56" s="174"/>
      <c r="BH56" s="174"/>
      <c r="BI56" s="176"/>
      <c r="BJ56" s="174"/>
      <c r="BK56" s="174"/>
      <c r="BL56" s="236">
        <f t="shared" si="54"/>
        <v>0</v>
      </c>
      <c r="BM56" s="174"/>
      <c r="BN56" s="174"/>
      <c r="BO56" s="174"/>
      <c r="BP56" s="66" t="e">
        <f t="shared" si="41"/>
        <v>#DIV/0!</v>
      </c>
      <c r="BQ56" s="102">
        <f t="shared" si="1"/>
        <v>0</v>
      </c>
      <c r="BR56" s="186" t="e">
        <f t="shared" si="36"/>
        <v>#DIV/0!</v>
      </c>
      <c r="BS56" s="186">
        <f t="shared" si="2"/>
        <v>0</v>
      </c>
      <c r="BT56" s="186"/>
      <c r="BU56" s="186"/>
      <c r="BV56" s="186"/>
      <c r="BW56" s="236"/>
      <c r="BX56" s="236"/>
    </row>
    <row r="57" spans="1:76" s="136" customFormat="1" ht="48.75" customHeight="1" outlineLevel="7" x14ac:dyDescent="0.25">
      <c r="A57" s="8"/>
      <c r="B57" s="9" t="s">
        <v>383</v>
      </c>
      <c r="C57" s="247" t="s">
        <v>348</v>
      </c>
      <c r="D57" s="248"/>
      <c r="E57" s="249"/>
      <c r="F57" s="250"/>
      <c r="G57" s="249"/>
      <c r="H57" s="251"/>
      <c r="I57" s="249"/>
      <c r="J57" s="251"/>
      <c r="K57" s="249"/>
      <c r="L57" s="251"/>
      <c r="M57" s="252"/>
      <c r="N57" s="253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3"/>
      <c r="AE57" s="253">
        <v>119865.9</v>
      </c>
      <c r="AF57" s="253">
        <v>127404.1</v>
      </c>
      <c r="AG57" s="253"/>
      <c r="AH57" s="176">
        <f t="shared" si="58"/>
        <v>108815.29999999999</v>
      </c>
      <c r="AI57" s="253">
        <f t="shared" si="62"/>
        <v>0</v>
      </c>
      <c r="AJ57" s="253">
        <f t="shared" si="62"/>
        <v>0</v>
      </c>
      <c r="AK57" s="176">
        <f t="shared" si="62"/>
        <v>2302.9</v>
      </c>
      <c r="AL57" s="176">
        <f t="shared" si="64"/>
        <v>148.19999999999999</v>
      </c>
      <c r="AM57" s="176">
        <f t="shared" si="64"/>
        <v>3301</v>
      </c>
      <c r="AN57" s="176">
        <f t="shared" si="64"/>
        <v>18249.5</v>
      </c>
      <c r="AO57" s="176">
        <f t="shared" si="59"/>
        <v>15429.8</v>
      </c>
      <c r="AP57" s="176">
        <f t="shared" si="59"/>
        <v>29577.5</v>
      </c>
      <c r="AQ57" s="176">
        <f t="shared" si="59"/>
        <v>15563.9</v>
      </c>
      <c r="AR57" s="176">
        <f t="shared" si="59"/>
        <v>935.5</v>
      </c>
      <c r="AS57" s="253">
        <f>BJ57</f>
        <v>18885.8</v>
      </c>
      <c r="AT57" s="253"/>
      <c r="AU57" s="253"/>
      <c r="AV57" s="253"/>
      <c r="AW57" s="253"/>
      <c r="AX57" s="253"/>
      <c r="AY57" s="253"/>
      <c r="AZ57" s="253"/>
      <c r="BA57" s="253"/>
      <c r="BB57" s="253">
        <v>2302.9</v>
      </c>
      <c r="BC57" s="253">
        <v>148.19999999999999</v>
      </c>
      <c r="BD57" s="253">
        <f>3300.9+0.1</f>
        <v>3301</v>
      </c>
      <c r="BE57" s="253">
        <f>14276.2+3973.3</f>
        <v>18249.5</v>
      </c>
      <c r="BF57" s="253">
        <f>5214.8+10215</f>
        <v>15429.8</v>
      </c>
      <c r="BG57" s="252">
        <f>1646.2+27931.3</f>
        <v>29577.5</v>
      </c>
      <c r="BH57" s="253">
        <f>17210-1646.1</f>
        <v>15563.9</v>
      </c>
      <c r="BI57" s="253">
        <f>341.5+594</f>
        <v>935.5</v>
      </c>
      <c r="BJ57" s="253">
        <v>18885.8</v>
      </c>
      <c r="BK57" s="253">
        <f>782.2+3639</f>
        <v>4421.2</v>
      </c>
      <c r="BL57" s="236">
        <f t="shared" si="54"/>
        <v>108815.29999999999</v>
      </c>
      <c r="BM57" s="252"/>
      <c r="BN57" s="252"/>
      <c r="BO57" s="252"/>
      <c r="BP57" s="66">
        <f t="shared" si="41"/>
        <v>90.780864282502364</v>
      </c>
      <c r="BQ57" s="102">
        <f t="shared" si="1"/>
        <v>-11050.600000000006</v>
      </c>
      <c r="BR57" s="186">
        <f t="shared" si="36"/>
        <v>85.409574731111476</v>
      </c>
      <c r="BS57" s="186">
        <f t="shared" si="2"/>
        <v>-18588.800000000017</v>
      </c>
      <c r="BT57" s="186"/>
      <c r="BU57" s="186"/>
      <c r="BV57" s="299"/>
      <c r="BW57" s="254"/>
      <c r="BX57" s="254"/>
    </row>
    <row r="58" spans="1:76" s="136" customFormat="1" ht="19.5" hidden="1" customHeight="1" outlineLevel="7" x14ac:dyDescent="0.25">
      <c r="A58" s="8"/>
      <c r="B58" s="294" t="s">
        <v>422</v>
      </c>
      <c r="C58" s="10"/>
      <c r="D58" s="68"/>
      <c r="E58" s="66"/>
      <c r="F58" s="98"/>
      <c r="G58" s="66"/>
      <c r="H58" s="67"/>
      <c r="I58" s="66"/>
      <c r="J58" s="67"/>
      <c r="K58" s="66"/>
      <c r="L58" s="67">
        <f t="shared" si="60"/>
        <v>0</v>
      </c>
      <c r="M58" s="174" t="e">
        <f>L58+#REF!</f>
        <v>#REF!</v>
      </c>
      <c r="N58" s="176">
        <f>4742.4+197.6</f>
        <v>4940</v>
      </c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6"/>
      <c r="AE58" s="176"/>
      <c r="AF58" s="176"/>
      <c r="AG58" s="176"/>
      <c r="AH58" s="176">
        <f t="shared" si="58"/>
        <v>0</v>
      </c>
      <c r="AI58" s="176">
        <f t="shared" si="62"/>
        <v>0</v>
      </c>
      <c r="AJ58" s="176">
        <f t="shared" si="62"/>
        <v>0</v>
      </c>
      <c r="AK58" s="176">
        <f t="shared" si="62"/>
        <v>0</v>
      </c>
      <c r="AL58" s="176">
        <f t="shared" si="64"/>
        <v>0</v>
      </c>
      <c r="AM58" s="176">
        <f t="shared" si="64"/>
        <v>0</v>
      </c>
      <c r="AN58" s="176">
        <f t="shared" si="64"/>
        <v>0</v>
      </c>
      <c r="AO58" s="176">
        <f t="shared" si="59"/>
        <v>0</v>
      </c>
      <c r="AP58" s="176">
        <f t="shared" si="59"/>
        <v>0</v>
      </c>
      <c r="AQ58" s="176">
        <f t="shared" si="59"/>
        <v>0</v>
      </c>
      <c r="AR58" s="176">
        <f t="shared" si="59"/>
        <v>0</v>
      </c>
      <c r="AS58" s="253">
        <f t="shared" ref="AS58:AS65" si="65">BJ58</f>
        <v>0</v>
      </c>
      <c r="AT58" s="176"/>
      <c r="AU58" s="176"/>
      <c r="AV58" s="176"/>
      <c r="AW58" s="176"/>
      <c r="AX58" s="176"/>
      <c r="AY58" s="176"/>
      <c r="AZ58" s="176">
        <f t="shared" si="28"/>
        <v>0</v>
      </c>
      <c r="BA58" s="176"/>
      <c r="BB58" s="176"/>
      <c r="BC58" s="176"/>
      <c r="BD58" s="176"/>
      <c r="BE58" s="176"/>
      <c r="BF58" s="176"/>
      <c r="BG58" s="174"/>
      <c r="BH58" s="176"/>
      <c r="BI58" s="176"/>
      <c r="BJ58" s="176"/>
      <c r="BK58" s="174"/>
      <c r="BL58" s="236">
        <f t="shared" si="54"/>
        <v>0</v>
      </c>
      <c r="BM58" s="174"/>
      <c r="BN58" s="174"/>
      <c r="BO58" s="174"/>
      <c r="BP58" s="66" t="e">
        <f t="shared" si="41"/>
        <v>#DIV/0!</v>
      </c>
      <c r="BQ58" s="102">
        <f t="shared" si="1"/>
        <v>0</v>
      </c>
      <c r="BR58" s="186" t="e">
        <f t="shared" si="36"/>
        <v>#DIV/0!</v>
      </c>
      <c r="BS58" s="186">
        <f t="shared" si="2"/>
        <v>0</v>
      </c>
      <c r="BT58" s="186"/>
      <c r="BU58" s="186"/>
      <c r="BV58" s="186"/>
      <c r="BW58" s="236"/>
      <c r="BX58" s="236"/>
    </row>
    <row r="59" spans="1:76" s="136" customFormat="1" ht="30" outlineLevel="7" x14ac:dyDescent="0.25">
      <c r="A59" s="8" t="s">
        <v>50</v>
      </c>
      <c r="B59" s="180" t="s">
        <v>124</v>
      </c>
      <c r="C59" s="10" t="s">
        <v>51</v>
      </c>
      <c r="D59" s="68"/>
      <c r="E59" s="66">
        <v>1490.3</v>
      </c>
      <c r="F59" s="98">
        <f>11.3+1543.9</f>
        <v>1555.2</v>
      </c>
      <c r="G59" s="66">
        <v>148.9</v>
      </c>
      <c r="H59" s="67"/>
      <c r="I59" s="66"/>
      <c r="J59" s="67"/>
      <c r="K59" s="66"/>
      <c r="L59" s="67">
        <f>K59+J59+I59+H59+G59</f>
        <v>148.9</v>
      </c>
      <c r="M59" s="174" t="e">
        <f>L59+#REF!</f>
        <v>#REF!</v>
      </c>
      <c r="N59" s="176">
        <v>1555.2</v>
      </c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6"/>
      <c r="AE59" s="176">
        <v>1761.5</v>
      </c>
      <c r="AF59" s="176">
        <v>2076</v>
      </c>
      <c r="AG59" s="176"/>
      <c r="AH59" s="176">
        <f t="shared" si="58"/>
        <v>2076.0000000000005</v>
      </c>
      <c r="AI59" s="176">
        <f t="shared" si="62"/>
        <v>117.4</v>
      </c>
      <c r="AJ59" s="176">
        <f t="shared" si="62"/>
        <v>117.5</v>
      </c>
      <c r="AK59" s="176">
        <f t="shared" si="62"/>
        <v>205.5</v>
      </c>
      <c r="AL59" s="176">
        <f t="shared" si="64"/>
        <v>117.4</v>
      </c>
      <c r="AM59" s="176">
        <f t="shared" si="64"/>
        <v>117.4</v>
      </c>
      <c r="AN59" s="176">
        <f t="shared" si="64"/>
        <v>250.5</v>
      </c>
      <c r="AO59" s="176">
        <f t="shared" si="59"/>
        <v>162.30000000000001</v>
      </c>
      <c r="AP59" s="176">
        <f t="shared" si="59"/>
        <v>162.4</v>
      </c>
      <c r="AQ59" s="176">
        <f t="shared" si="59"/>
        <v>250.4</v>
      </c>
      <c r="AR59" s="176">
        <f t="shared" si="59"/>
        <v>162.4</v>
      </c>
      <c r="AS59" s="253">
        <f t="shared" si="65"/>
        <v>162.4</v>
      </c>
      <c r="AT59" s="176"/>
      <c r="AU59" s="176"/>
      <c r="AV59" s="176"/>
      <c r="AW59" s="176"/>
      <c r="AX59" s="176"/>
      <c r="AY59" s="176"/>
      <c r="AZ59" s="176">
        <v>117.4</v>
      </c>
      <c r="BA59" s="176">
        <v>117.5</v>
      </c>
      <c r="BB59" s="176">
        <v>205.5</v>
      </c>
      <c r="BC59" s="176">
        <v>117.4</v>
      </c>
      <c r="BD59" s="176">
        <v>117.4</v>
      </c>
      <c r="BE59" s="176">
        <v>250.5</v>
      </c>
      <c r="BF59" s="176">
        <v>162.30000000000001</v>
      </c>
      <c r="BG59" s="174">
        <v>162.4</v>
      </c>
      <c r="BH59" s="176">
        <v>250.4</v>
      </c>
      <c r="BI59" s="176">
        <v>162.4</v>
      </c>
      <c r="BJ59" s="176">
        <v>162.4</v>
      </c>
      <c r="BK59" s="176">
        <v>250.4</v>
      </c>
      <c r="BL59" s="236">
        <f t="shared" si="54"/>
        <v>2076.0000000000005</v>
      </c>
      <c r="BM59" s="174"/>
      <c r="BN59" s="174"/>
      <c r="BO59" s="174"/>
      <c r="BP59" s="66">
        <f t="shared" si="41"/>
        <v>117.85410161793928</v>
      </c>
      <c r="BQ59" s="102">
        <f t="shared" si="1"/>
        <v>314.50000000000045</v>
      </c>
      <c r="BR59" s="186">
        <f t="shared" si="36"/>
        <v>100.00000000000003</v>
      </c>
      <c r="BS59" s="186">
        <f t="shared" si="2"/>
        <v>0</v>
      </c>
      <c r="BT59" s="186"/>
      <c r="BU59" s="186"/>
      <c r="BV59" s="186"/>
      <c r="BW59" s="236"/>
      <c r="BX59" s="236"/>
    </row>
    <row r="60" spans="1:76" s="19" customFormat="1" ht="50.25" customHeight="1" outlineLevel="2" x14ac:dyDescent="0.25">
      <c r="A60" s="18"/>
      <c r="B60" s="9" t="s">
        <v>256</v>
      </c>
      <c r="C60" s="20" t="s">
        <v>255</v>
      </c>
      <c r="D60" s="171"/>
      <c r="E60" s="98">
        <v>1230</v>
      </c>
      <c r="F60" s="98">
        <f t="shared" si="33"/>
        <v>1230</v>
      </c>
      <c r="G60" s="98">
        <v>1109.5999999999999</v>
      </c>
      <c r="H60" s="119"/>
      <c r="I60" s="98"/>
      <c r="J60" s="119"/>
      <c r="K60" s="98"/>
      <c r="L60" s="67">
        <f t="shared" si="60"/>
        <v>1109.5999999999999</v>
      </c>
      <c r="M60" s="174" t="e">
        <f>L60+#REF!</f>
        <v>#REF!</v>
      </c>
      <c r="N60" s="176">
        <v>1109.5999999999999</v>
      </c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6"/>
      <c r="AE60" s="176">
        <v>1104.5999999999999</v>
      </c>
      <c r="AF60" s="176">
        <v>1104.5999999999999</v>
      </c>
      <c r="AG60" s="176"/>
      <c r="AH60" s="176">
        <f t="shared" si="58"/>
        <v>1104.5999999999999</v>
      </c>
      <c r="AI60" s="176"/>
      <c r="AJ60" s="176"/>
      <c r="AK60" s="176"/>
      <c r="AL60" s="176">
        <f t="shared" si="64"/>
        <v>0</v>
      </c>
      <c r="AM60" s="176">
        <f t="shared" si="64"/>
        <v>0</v>
      </c>
      <c r="AN60" s="176">
        <f t="shared" si="64"/>
        <v>0</v>
      </c>
      <c r="AO60" s="176">
        <f t="shared" si="59"/>
        <v>0</v>
      </c>
      <c r="AP60" s="176">
        <f t="shared" si="59"/>
        <v>0</v>
      </c>
      <c r="AQ60" s="176">
        <f t="shared" si="59"/>
        <v>0</v>
      </c>
      <c r="AR60" s="176">
        <f t="shared" si="59"/>
        <v>0</v>
      </c>
      <c r="AS60" s="253"/>
      <c r="AT60" s="176"/>
      <c r="AU60" s="176"/>
      <c r="AV60" s="176"/>
      <c r="AW60" s="176"/>
      <c r="AX60" s="176"/>
      <c r="AY60" s="176"/>
      <c r="AZ60" s="176">
        <f t="shared" si="28"/>
        <v>0</v>
      </c>
      <c r="BA60" s="176"/>
      <c r="BB60" s="176"/>
      <c r="BC60" s="176"/>
      <c r="BD60" s="176"/>
      <c r="BE60" s="176"/>
      <c r="BF60" s="176"/>
      <c r="BG60" s="174"/>
      <c r="BH60" s="176"/>
      <c r="BI60" s="176"/>
      <c r="BJ60" s="176"/>
      <c r="BK60" s="176">
        <v>1104.5999999999999</v>
      </c>
      <c r="BL60" s="236">
        <f t="shared" si="54"/>
        <v>1104.5999999999999</v>
      </c>
      <c r="BM60" s="174"/>
      <c r="BN60" s="174"/>
      <c r="BO60" s="174"/>
      <c r="BP60" s="66">
        <f t="shared" si="41"/>
        <v>100</v>
      </c>
      <c r="BQ60" s="102">
        <f t="shared" si="1"/>
        <v>0</v>
      </c>
      <c r="BR60" s="186">
        <f t="shared" si="36"/>
        <v>100</v>
      </c>
      <c r="BS60" s="186">
        <f t="shared" si="2"/>
        <v>0</v>
      </c>
      <c r="BT60" s="186"/>
      <c r="BU60" s="186"/>
      <c r="BV60" s="186"/>
      <c r="BW60" s="236"/>
      <c r="BX60" s="236"/>
    </row>
    <row r="61" spans="1:76" s="136" customFormat="1" ht="30" outlineLevel="7" x14ac:dyDescent="0.25">
      <c r="A61" s="8" t="s">
        <v>50</v>
      </c>
      <c r="B61" s="9" t="s">
        <v>371</v>
      </c>
      <c r="C61" s="10" t="s">
        <v>349</v>
      </c>
      <c r="D61" s="68"/>
      <c r="E61" s="66">
        <v>4598.8999999999996</v>
      </c>
      <c r="F61" s="98">
        <v>8913.5</v>
      </c>
      <c r="G61" s="66"/>
      <c r="H61" s="67"/>
      <c r="I61" s="66"/>
      <c r="J61" s="67"/>
      <c r="K61" s="66"/>
      <c r="L61" s="67">
        <f>K61+J61+I61+H61+G61</f>
        <v>0</v>
      </c>
      <c r="M61" s="174" t="e">
        <f>L61+#REF!</f>
        <v>#REF!</v>
      </c>
      <c r="N61" s="176">
        <v>8913.5</v>
      </c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6"/>
      <c r="AE61" s="176">
        <v>11367.9</v>
      </c>
      <c r="AF61" s="176">
        <v>14777</v>
      </c>
      <c r="AG61" s="176"/>
      <c r="AH61" s="176">
        <f t="shared" si="58"/>
        <v>13346.099999999999</v>
      </c>
      <c r="AI61" s="176"/>
      <c r="AJ61" s="176"/>
      <c r="AK61" s="176"/>
      <c r="AL61" s="176">
        <f t="shared" si="64"/>
        <v>0</v>
      </c>
      <c r="AM61" s="176">
        <f t="shared" si="64"/>
        <v>0</v>
      </c>
      <c r="AN61" s="176">
        <f t="shared" si="64"/>
        <v>0</v>
      </c>
      <c r="AO61" s="176">
        <f t="shared" si="59"/>
        <v>0</v>
      </c>
      <c r="AP61" s="176">
        <f t="shared" si="59"/>
        <v>4620.3</v>
      </c>
      <c r="AQ61" s="176">
        <f t="shared" si="59"/>
        <v>539.6</v>
      </c>
      <c r="AR61" s="176">
        <f t="shared" si="59"/>
        <v>404.9</v>
      </c>
      <c r="AS61" s="253">
        <f t="shared" si="65"/>
        <v>7211.2999999999993</v>
      </c>
      <c r="AT61" s="176"/>
      <c r="AU61" s="176"/>
      <c r="AV61" s="176"/>
      <c r="AW61" s="176"/>
      <c r="AX61" s="176"/>
      <c r="AY61" s="176"/>
      <c r="AZ61" s="176">
        <f>AU61+AV61+AW61+AX61+AY61</f>
        <v>0</v>
      </c>
      <c r="BA61" s="176"/>
      <c r="BB61" s="176"/>
      <c r="BC61" s="176"/>
      <c r="BD61" s="176"/>
      <c r="BE61" s="176"/>
      <c r="BF61" s="176"/>
      <c r="BG61" s="174">
        <v>4620.3</v>
      </c>
      <c r="BH61" s="176">
        <v>539.6</v>
      </c>
      <c r="BI61" s="176">
        <v>404.9</v>
      </c>
      <c r="BJ61" s="176">
        <f>1510.4+5700.9</f>
        <v>7211.2999999999993</v>
      </c>
      <c r="BK61" s="176">
        <v>570</v>
      </c>
      <c r="BL61" s="236">
        <f t="shared" si="54"/>
        <v>13346.099999999999</v>
      </c>
      <c r="BM61" s="174"/>
      <c r="BN61" s="174"/>
      <c r="BO61" s="174"/>
      <c r="BP61" s="66">
        <f t="shared" si="41"/>
        <v>117.40163090808329</v>
      </c>
      <c r="BQ61" s="102">
        <f t="shared" si="1"/>
        <v>1978.1999999999989</v>
      </c>
      <c r="BR61" s="186">
        <f t="shared" si="36"/>
        <v>90.316708398186364</v>
      </c>
      <c r="BS61" s="186">
        <f t="shared" si="2"/>
        <v>-1430.9000000000015</v>
      </c>
      <c r="BT61" s="186"/>
      <c r="BU61" s="186"/>
      <c r="BV61" s="186"/>
      <c r="BW61" s="236"/>
      <c r="BX61" s="236"/>
    </row>
    <row r="62" spans="1:76" s="136" customFormat="1" ht="42.75" customHeight="1" outlineLevel="7" x14ac:dyDescent="0.25">
      <c r="A62" s="8" t="s">
        <v>36</v>
      </c>
      <c r="B62" s="9" t="s">
        <v>116</v>
      </c>
      <c r="C62" s="10" t="s">
        <v>38</v>
      </c>
      <c r="D62" s="68"/>
      <c r="E62" s="66">
        <v>2321</v>
      </c>
      <c r="F62" s="98">
        <v>633</v>
      </c>
      <c r="G62" s="66"/>
      <c r="H62" s="67"/>
      <c r="I62" s="66"/>
      <c r="J62" s="67"/>
      <c r="K62" s="66"/>
      <c r="L62" s="67">
        <f>K62+J62+I62+H62+G62</f>
        <v>0</v>
      </c>
      <c r="M62" s="174" t="e">
        <f>L62+#REF!</f>
        <v>#REF!</v>
      </c>
      <c r="N62" s="176">
        <v>633</v>
      </c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6"/>
      <c r="AE62" s="176">
        <v>2320.3000000000002</v>
      </c>
      <c r="AF62" s="176">
        <v>2320.3000000000002</v>
      </c>
      <c r="AG62" s="176"/>
      <c r="AH62" s="176">
        <f t="shared" si="58"/>
        <v>2320.3000000000002</v>
      </c>
      <c r="AI62" s="176">
        <f t="shared" si="62"/>
        <v>0</v>
      </c>
      <c r="AJ62" s="176">
        <f t="shared" si="62"/>
        <v>580.1</v>
      </c>
      <c r="AK62" s="176">
        <f t="shared" si="62"/>
        <v>0</v>
      </c>
      <c r="AL62" s="176">
        <f t="shared" si="64"/>
        <v>580.1</v>
      </c>
      <c r="AM62" s="176">
        <f t="shared" si="64"/>
        <v>0</v>
      </c>
      <c r="AN62" s="176">
        <f t="shared" si="64"/>
        <v>0</v>
      </c>
      <c r="AO62" s="176">
        <f t="shared" si="59"/>
        <v>580.1</v>
      </c>
      <c r="AP62" s="176">
        <f t="shared" si="59"/>
        <v>0</v>
      </c>
      <c r="AQ62" s="176">
        <f t="shared" si="59"/>
        <v>-0.1</v>
      </c>
      <c r="AR62" s="176">
        <f t="shared" si="59"/>
        <v>580.1</v>
      </c>
      <c r="AS62" s="253"/>
      <c r="AT62" s="176"/>
      <c r="AU62" s="176"/>
      <c r="AV62" s="176"/>
      <c r="AW62" s="176"/>
      <c r="AX62" s="176"/>
      <c r="AY62" s="176"/>
      <c r="AZ62" s="176">
        <f>AU62+AV62+AW62+AX62+AY62</f>
        <v>0</v>
      </c>
      <c r="BA62" s="176">
        <v>580.1</v>
      </c>
      <c r="BB62" s="176"/>
      <c r="BC62" s="176">
        <v>580.1</v>
      </c>
      <c r="BD62" s="176"/>
      <c r="BE62" s="176"/>
      <c r="BF62" s="176">
        <v>580.1</v>
      </c>
      <c r="BG62" s="174"/>
      <c r="BH62" s="176">
        <v>-0.1</v>
      </c>
      <c r="BI62" s="176">
        <v>580.1</v>
      </c>
      <c r="BJ62" s="176"/>
      <c r="BK62" s="174"/>
      <c r="BL62" s="236">
        <f t="shared" si="54"/>
        <v>2320.3000000000002</v>
      </c>
      <c r="BM62" s="174"/>
      <c r="BN62" s="174"/>
      <c r="BO62" s="174"/>
      <c r="BP62" s="66">
        <f t="shared" si="41"/>
        <v>100</v>
      </c>
      <c r="BQ62" s="102">
        <f t="shared" si="1"/>
        <v>0</v>
      </c>
      <c r="BR62" s="186">
        <f t="shared" si="36"/>
        <v>100</v>
      </c>
      <c r="BS62" s="186">
        <f t="shared" si="2"/>
        <v>0</v>
      </c>
      <c r="BT62" s="186"/>
      <c r="BU62" s="186"/>
      <c r="BV62" s="186"/>
      <c r="BW62" s="236"/>
      <c r="BX62" s="236"/>
    </row>
    <row r="63" spans="1:76" s="136" customFormat="1" ht="30" outlineLevel="7" x14ac:dyDescent="0.25">
      <c r="A63" s="8" t="s">
        <v>35</v>
      </c>
      <c r="B63" s="225" t="s">
        <v>258</v>
      </c>
      <c r="C63" s="10" t="s">
        <v>257</v>
      </c>
      <c r="D63" s="68"/>
      <c r="E63" s="66">
        <v>741</v>
      </c>
      <c r="F63" s="98">
        <f t="shared" si="33"/>
        <v>741</v>
      </c>
      <c r="G63" s="66"/>
      <c r="H63" s="67"/>
      <c r="I63" s="66"/>
      <c r="J63" s="67"/>
      <c r="K63" s="66"/>
      <c r="L63" s="67">
        <f t="shared" si="60"/>
        <v>0</v>
      </c>
      <c r="M63" s="174" t="e">
        <f>L63+#REF!</f>
        <v>#REF!</v>
      </c>
      <c r="N63" s="176">
        <v>691.3</v>
      </c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6"/>
      <c r="AE63" s="176">
        <v>1185.5999999999999</v>
      </c>
      <c r="AF63" s="176">
        <v>4549.8</v>
      </c>
      <c r="AG63" s="176"/>
      <c r="AH63" s="176">
        <f t="shared" si="58"/>
        <v>4493.5</v>
      </c>
      <c r="AI63" s="176"/>
      <c r="AJ63" s="176"/>
      <c r="AK63" s="176"/>
      <c r="AL63" s="176">
        <f t="shared" si="64"/>
        <v>0</v>
      </c>
      <c r="AM63" s="176">
        <f t="shared" si="64"/>
        <v>588.20000000000005</v>
      </c>
      <c r="AN63" s="176">
        <f t="shared" si="64"/>
        <v>759.8</v>
      </c>
      <c r="AO63" s="176">
        <f t="shared" si="59"/>
        <v>3145.5</v>
      </c>
      <c r="AP63" s="176">
        <f t="shared" si="59"/>
        <v>0</v>
      </c>
      <c r="AQ63" s="176">
        <f t="shared" si="59"/>
        <v>0</v>
      </c>
      <c r="AR63" s="176">
        <f t="shared" si="59"/>
        <v>0</v>
      </c>
      <c r="AS63" s="253"/>
      <c r="AT63" s="176"/>
      <c r="AU63" s="176"/>
      <c r="AV63" s="176"/>
      <c r="AW63" s="176"/>
      <c r="AX63" s="176"/>
      <c r="AY63" s="176"/>
      <c r="AZ63" s="176">
        <f t="shared" si="28"/>
        <v>0</v>
      </c>
      <c r="BA63" s="176"/>
      <c r="BB63" s="176"/>
      <c r="BC63" s="176"/>
      <c r="BD63" s="176">
        <v>588.20000000000005</v>
      </c>
      <c r="BE63" s="176">
        <v>759.8</v>
      </c>
      <c r="BF63" s="176">
        <v>3145.5</v>
      </c>
      <c r="BG63" s="174"/>
      <c r="BH63" s="176"/>
      <c r="BI63" s="176"/>
      <c r="BJ63" s="176"/>
      <c r="BK63" s="174"/>
      <c r="BL63" s="236">
        <f t="shared" si="54"/>
        <v>4493.5</v>
      </c>
      <c r="BM63" s="174"/>
      <c r="BN63" s="174"/>
      <c r="BO63" s="174"/>
      <c r="BP63" s="66">
        <f t="shared" si="41"/>
        <v>379.00641025641028</v>
      </c>
      <c r="BQ63" s="102">
        <f t="shared" si="1"/>
        <v>3307.9</v>
      </c>
      <c r="BR63" s="186">
        <f t="shared" si="36"/>
        <v>98.762582970680029</v>
      </c>
      <c r="BS63" s="186">
        <f t="shared" si="2"/>
        <v>-56.300000000000182</v>
      </c>
      <c r="BT63" s="186"/>
      <c r="BU63" s="186"/>
      <c r="BV63" s="186"/>
      <c r="BW63" s="236"/>
      <c r="BX63" s="236"/>
    </row>
    <row r="64" spans="1:76" s="136" customFormat="1" ht="30" outlineLevel="7" x14ac:dyDescent="0.25">
      <c r="A64" s="8"/>
      <c r="B64" s="9" t="s">
        <v>281</v>
      </c>
      <c r="C64" s="10" t="s">
        <v>350</v>
      </c>
      <c r="D64" s="68"/>
      <c r="E64" s="66"/>
      <c r="F64" s="98">
        <v>2528.6</v>
      </c>
      <c r="G64" s="66"/>
      <c r="H64" s="67"/>
      <c r="I64" s="66"/>
      <c r="J64" s="67"/>
      <c r="K64" s="66"/>
      <c r="L64" s="67">
        <f>K64+J64+I64+H64+G64</f>
        <v>0</v>
      </c>
      <c r="M64" s="174" t="e">
        <f>L64+#REF!</f>
        <v>#REF!</v>
      </c>
      <c r="N64" s="176">
        <v>0</v>
      </c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84"/>
      <c r="AD64" s="176"/>
      <c r="AE64" s="176">
        <v>2472.5</v>
      </c>
      <c r="AF64" s="176">
        <v>2472.5</v>
      </c>
      <c r="AG64" s="176"/>
      <c r="AH64" s="176">
        <f t="shared" si="58"/>
        <v>1818</v>
      </c>
      <c r="AI64" s="176"/>
      <c r="AJ64" s="176"/>
      <c r="AK64" s="176"/>
      <c r="AL64" s="176">
        <f t="shared" si="64"/>
        <v>0</v>
      </c>
      <c r="AM64" s="176">
        <f t="shared" si="64"/>
        <v>0</v>
      </c>
      <c r="AN64" s="176">
        <f t="shared" si="64"/>
        <v>0</v>
      </c>
      <c r="AO64" s="176">
        <f t="shared" si="59"/>
        <v>0</v>
      </c>
      <c r="AP64" s="176">
        <f t="shared" si="59"/>
        <v>0</v>
      </c>
      <c r="AQ64" s="176">
        <f t="shared" si="59"/>
        <v>0</v>
      </c>
      <c r="AR64" s="176">
        <f t="shared" si="59"/>
        <v>0</v>
      </c>
      <c r="AS64" s="253"/>
      <c r="AT64" s="176"/>
      <c r="AU64" s="176"/>
      <c r="AV64" s="176"/>
      <c r="AW64" s="176"/>
      <c r="AX64" s="176"/>
      <c r="AY64" s="176"/>
      <c r="AZ64" s="176">
        <f>AU64+AV64+AW64+AX64+AY64</f>
        <v>0</v>
      </c>
      <c r="BA64" s="176"/>
      <c r="BB64" s="176"/>
      <c r="BC64" s="176"/>
      <c r="BD64" s="176"/>
      <c r="BE64" s="176"/>
      <c r="BF64" s="176"/>
      <c r="BG64" s="174"/>
      <c r="BH64" s="176"/>
      <c r="BI64" s="176"/>
      <c r="BJ64" s="176"/>
      <c r="BK64" s="176">
        <v>1818</v>
      </c>
      <c r="BL64" s="236">
        <f t="shared" si="54"/>
        <v>1818</v>
      </c>
      <c r="BM64" s="174"/>
      <c r="BN64" s="235"/>
      <c r="BO64" s="235"/>
      <c r="BP64" s="66">
        <f t="shared" si="41"/>
        <v>73.528816986855404</v>
      </c>
      <c r="BQ64" s="102">
        <f t="shared" si="1"/>
        <v>-654.5</v>
      </c>
      <c r="BR64" s="186">
        <f t="shared" si="36"/>
        <v>73.528816986855404</v>
      </c>
      <c r="BS64" s="186">
        <f t="shared" si="2"/>
        <v>-654.5</v>
      </c>
      <c r="BT64" s="186"/>
      <c r="BU64" s="186"/>
      <c r="BV64" s="186"/>
      <c r="BW64" s="236"/>
      <c r="BX64" s="236"/>
    </row>
    <row r="65" spans="1:76" ht="39.75" customHeight="1" x14ac:dyDescent="0.25">
      <c r="B65" s="182" t="s">
        <v>268</v>
      </c>
      <c r="C65" s="10" t="s">
        <v>283</v>
      </c>
      <c r="N65" s="295">
        <v>2974.1</v>
      </c>
      <c r="AD65" s="268"/>
      <c r="AE65" s="176">
        <v>3294.7</v>
      </c>
      <c r="AF65" s="176">
        <v>2583.6</v>
      </c>
      <c r="AG65" s="176"/>
      <c r="AH65" s="176">
        <f t="shared" si="58"/>
        <v>2583.6000000000004</v>
      </c>
      <c r="AI65" s="176"/>
      <c r="AJ65" s="176"/>
      <c r="AK65" s="176"/>
      <c r="AL65" s="176">
        <f t="shared" si="64"/>
        <v>0</v>
      </c>
      <c r="AM65" s="176">
        <f t="shared" si="64"/>
        <v>0</v>
      </c>
      <c r="AN65" s="176">
        <f t="shared" si="64"/>
        <v>0</v>
      </c>
      <c r="AO65" s="176">
        <f t="shared" si="59"/>
        <v>1215.4000000000001</v>
      </c>
      <c r="AP65" s="176">
        <f t="shared" si="59"/>
        <v>0</v>
      </c>
      <c r="AQ65" s="176">
        <f t="shared" si="59"/>
        <v>0</v>
      </c>
      <c r="AR65" s="176">
        <f t="shared" si="59"/>
        <v>588.70000000000005</v>
      </c>
      <c r="AS65" s="253">
        <f t="shared" si="65"/>
        <v>673.2</v>
      </c>
      <c r="AT65" s="270"/>
      <c r="AU65" s="270"/>
      <c r="AV65" s="270"/>
      <c r="AW65" s="270"/>
      <c r="AX65" s="270"/>
      <c r="AY65" s="270"/>
      <c r="AZ65" s="176">
        <f>AU65+AV65+AW65+AX65+AY65</f>
        <v>0</v>
      </c>
      <c r="BA65" s="176"/>
      <c r="BB65" s="176"/>
      <c r="BC65" s="176"/>
      <c r="BD65" s="176"/>
      <c r="BE65" s="176"/>
      <c r="BF65" s="176">
        <v>1215.4000000000001</v>
      </c>
      <c r="BG65" s="174"/>
      <c r="BH65" s="176"/>
      <c r="BI65" s="176">
        <v>588.70000000000005</v>
      </c>
      <c r="BJ65" s="176">
        <v>673.2</v>
      </c>
      <c r="BK65" s="176">
        <v>106.3</v>
      </c>
      <c r="BL65" s="236">
        <f t="shared" si="54"/>
        <v>2583.6000000000004</v>
      </c>
      <c r="BM65" s="174"/>
      <c r="BN65" s="174"/>
      <c r="BO65" s="174"/>
      <c r="BP65" s="66">
        <f t="shared" si="41"/>
        <v>78.41685130664402</v>
      </c>
      <c r="BQ65" s="102">
        <f t="shared" si="1"/>
        <v>-711.09999999999945</v>
      </c>
      <c r="BR65" s="186">
        <f t="shared" si="36"/>
        <v>100.00000000000003</v>
      </c>
      <c r="BS65" s="186">
        <f t="shared" si="2"/>
        <v>0</v>
      </c>
      <c r="BT65" s="186"/>
      <c r="BU65" s="186"/>
      <c r="BV65" s="186"/>
      <c r="BW65" s="236"/>
      <c r="BX65" s="236"/>
    </row>
    <row r="66" spans="1:76" s="136" customFormat="1" ht="30" outlineLevel="7" x14ac:dyDescent="0.25">
      <c r="A66" s="8"/>
      <c r="B66" s="223" t="s">
        <v>351</v>
      </c>
      <c r="C66" s="10" t="s">
        <v>262</v>
      </c>
      <c r="D66" s="68"/>
      <c r="E66" s="66"/>
      <c r="F66" s="98"/>
      <c r="G66" s="66"/>
      <c r="H66" s="67"/>
      <c r="I66" s="66"/>
      <c r="J66" s="67"/>
      <c r="K66" s="66"/>
      <c r="L66" s="67"/>
      <c r="M66" s="174"/>
      <c r="N66" s="176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84"/>
      <c r="AD66" s="176"/>
      <c r="AE66" s="176">
        <v>418</v>
      </c>
      <c r="AF66" s="176">
        <v>1706.7</v>
      </c>
      <c r="AG66" s="176"/>
      <c r="AH66" s="176">
        <f t="shared" si="58"/>
        <v>1692.8999999999999</v>
      </c>
      <c r="AI66" s="176"/>
      <c r="AJ66" s="176"/>
      <c r="AK66" s="176"/>
      <c r="AL66" s="176">
        <f t="shared" si="64"/>
        <v>0</v>
      </c>
      <c r="AM66" s="176">
        <f t="shared" si="64"/>
        <v>188.1</v>
      </c>
      <c r="AN66" s="176">
        <f t="shared" si="64"/>
        <v>1504.8</v>
      </c>
      <c r="AO66" s="176">
        <f t="shared" si="59"/>
        <v>0</v>
      </c>
      <c r="AP66" s="176">
        <f t="shared" si="59"/>
        <v>0</v>
      </c>
      <c r="AQ66" s="176">
        <f t="shared" si="59"/>
        <v>0</v>
      </c>
      <c r="AR66" s="176">
        <f t="shared" si="59"/>
        <v>0</v>
      </c>
      <c r="AS66" s="176"/>
      <c r="AT66" s="176"/>
      <c r="AU66" s="176"/>
      <c r="AV66" s="176"/>
      <c r="AW66" s="176"/>
      <c r="AX66" s="176"/>
      <c r="AY66" s="176"/>
      <c r="AZ66" s="176">
        <f t="shared" ref="AZ66:AZ67" si="66">AU66+AV66+AW66+AX66+AY66</f>
        <v>0</v>
      </c>
      <c r="BA66" s="176"/>
      <c r="BB66" s="176"/>
      <c r="BC66" s="176"/>
      <c r="BD66" s="176">
        <v>188.1</v>
      </c>
      <c r="BE66" s="176">
        <v>1504.8</v>
      </c>
      <c r="BF66" s="176"/>
      <c r="BG66" s="174"/>
      <c r="BH66" s="176"/>
      <c r="BI66" s="176"/>
      <c r="BJ66" s="174"/>
      <c r="BK66" s="174"/>
      <c r="BL66" s="236">
        <f t="shared" si="54"/>
        <v>1692.8999999999999</v>
      </c>
      <c r="BM66" s="174"/>
      <c r="BN66" s="235"/>
      <c r="BO66" s="235"/>
      <c r="BP66" s="66">
        <f t="shared" si="41"/>
        <v>405</v>
      </c>
      <c r="BQ66" s="102">
        <f t="shared" si="1"/>
        <v>1274.8999999999999</v>
      </c>
      <c r="BR66" s="186">
        <f t="shared" si="36"/>
        <v>99.191422042538221</v>
      </c>
      <c r="BS66" s="186">
        <f t="shared" si="2"/>
        <v>-13.800000000000182</v>
      </c>
      <c r="BT66" s="186"/>
      <c r="BU66" s="186"/>
      <c r="BV66" s="186"/>
      <c r="BW66" s="236"/>
      <c r="BX66" s="236"/>
    </row>
    <row r="67" spans="1:76" s="136" customFormat="1" ht="63.75" customHeight="1" outlineLevel="7" x14ac:dyDescent="0.25">
      <c r="A67" s="8"/>
      <c r="B67" s="9" t="s">
        <v>353</v>
      </c>
      <c r="C67" s="10" t="s">
        <v>352</v>
      </c>
      <c r="D67" s="68"/>
      <c r="E67" s="66"/>
      <c r="F67" s="98"/>
      <c r="G67" s="66"/>
      <c r="H67" s="67"/>
      <c r="I67" s="66"/>
      <c r="J67" s="67"/>
      <c r="K67" s="66"/>
      <c r="L67" s="67"/>
      <c r="M67" s="174"/>
      <c r="N67" s="176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84"/>
      <c r="AD67" s="176"/>
      <c r="AE67" s="176">
        <v>2676.6</v>
      </c>
      <c r="AF67" s="176">
        <v>2676.6</v>
      </c>
      <c r="AG67" s="176"/>
      <c r="AH67" s="176">
        <f t="shared" si="58"/>
        <v>2676.6</v>
      </c>
      <c r="AI67" s="176"/>
      <c r="AJ67" s="176"/>
      <c r="AK67" s="176"/>
      <c r="AL67" s="176">
        <f t="shared" si="64"/>
        <v>0</v>
      </c>
      <c r="AM67" s="176">
        <f t="shared" si="64"/>
        <v>1338.3</v>
      </c>
      <c r="AN67" s="174"/>
      <c r="AO67" s="176">
        <f t="shared" si="59"/>
        <v>1338.3</v>
      </c>
      <c r="AP67" s="176">
        <f t="shared" si="59"/>
        <v>0</v>
      </c>
      <c r="AQ67" s="176">
        <f t="shared" si="59"/>
        <v>0</v>
      </c>
      <c r="AR67" s="176">
        <f t="shared" si="59"/>
        <v>0</v>
      </c>
      <c r="AS67" s="174"/>
      <c r="AT67" s="174"/>
      <c r="AU67" s="174"/>
      <c r="AV67" s="174"/>
      <c r="AW67" s="174"/>
      <c r="AX67" s="174"/>
      <c r="AY67" s="174"/>
      <c r="AZ67" s="174">
        <f t="shared" si="66"/>
        <v>0</v>
      </c>
      <c r="BA67" s="174"/>
      <c r="BB67" s="176"/>
      <c r="BC67" s="174"/>
      <c r="BD67" s="174">
        <v>1338.3</v>
      </c>
      <c r="BE67" s="174"/>
      <c r="BF67" s="176">
        <v>1338.3</v>
      </c>
      <c r="BG67" s="174"/>
      <c r="BH67" s="176"/>
      <c r="BI67" s="176"/>
      <c r="BJ67" s="174"/>
      <c r="BK67" s="174"/>
      <c r="BL67" s="236">
        <f t="shared" si="54"/>
        <v>2676.6</v>
      </c>
      <c r="BM67" s="174"/>
      <c r="BN67" s="235"/>
      <c r="BO67" s="235"/>
      <c r="BP67" s="66">
        <f t="shared" si="41"/>
        <v>100</v>
      </c>
      <c r="BQ67" s="102">
        <f t="shared" si="1"/>
        <v>0</v>
      </c>
      <c r="BR67" s="186">
        <f t="shared" si="36"/>
        <v>100</v>
      </c>
      <c r="BS67" s="186">
        <f t="shared" si="2"/>
        <v>0</v>
      </c>
      <c r="BT67" s="186"/>
      <c r="BU67" s="186"/>
      <c r="BV67" s="186"/>
      <c r="BW67" s="236"/>
      <c r="BX67" s="236"/>
    </row>
    <row r="68" spans="1:76" s="136" customFormat="1" ht="50.25" customHeight="1" outlineLevel="7" x14ac:dyDescent="0.25">
      <c r="A68" s="8"/>
      <c r="B68" s="9" t="s">
        <v>215</v>
      </c>
      <c r="C68" s="10" t="s">
        <v>214</v>
      </c>
      <c r="D68" s="68"/>
      <c r="E68" s="66"/>
      <c r="F68" s="98">
        <f t="shared" si="33"/>
        <v>0</v>
      </c>
      <c r="G68" s="66"/>
      <c r="H68" s="67"/>
      <c r="I68" s="66"/>
      <c r="J68" s="67"/>
      <c r="K68" s="66"/>
      <c r="L68" s="67">
        <f t="shared" si="60"/>
        <v>0</v>
      </c>
      <c r="M68" s="174" t="e">
        <f>L68+#REF!</f>
        <v>#REF!</v>
      </c>
      <c r="N68" s="176">
        <v>11463.4</v>
      </c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6"/>
      <c r="AE68" s="176"/>
      <c r="AF68" s="176">
        <v>13021.7</v>
      </c>
      <c r="AG68" s="176"/>
      <c r="AH68" s="176">
        <f t="shared" si="58"/>
        <v>13001.9</v>
      </c>
      <c r="AI68" s="176"/>
      <c r="AJ68" s="176"/>
      <c r="AK68" s="176"/>
      <c r="AL68" s="176">
        <f t="shared" si="64"/>
        <v>0</v>
      </c>
      <c r="AM68" s="176">
        <f t="shared" si="64"/>
        <v>0</v>
      </c>
      <c r="AN68" s="174"/>
      <c r="AO68" s="176">
        <f t="shared" si="59"/>
        <v>0</v>
      </c>
      <c r="AP68" s="176">
        <f t="shared" si="59"/>
        <v>744.9</v>
      </c>
      <c r="AQ68" s="176">
        <f t="shared" si="59"/>
        <v>6427</v>
      </c>
      <c r="AR68" s="176">
        <f t="shared" si="59"/>
        <v>5830</v>
      </c>
      <c r="AS68" s="174"/>
      <c r="AT68" s="174"/>
      <c r="AU68" s="174"/>
      <c r="AV68" s="174"/>
      <c r="AW68" s="174"/>
      <c r="AX68" s="174"/>
      <c r="AY68" s="174"/>
      <c r="AZ68" s="174">
        <f t="shared" si="28"/>
        <v>0</v>
      </c>
      <c r="BA68" s="174"/>
      <c r="BB68" s="176"/>
      <c r="BC68" s="174"/>
      <c r="BD68" s="174"/>
      <c r="BE68" s="174"/>
      <c r="BF68" s="176"/>
      <c r="BG68" s="174">
        <v>744.9</v>
      </c>
      <c r="BH68" s="176">
        <v>6427</v>
      </c>
      <c r="BI68" s="176">
        <v>5830</v>
      </c>
      <c r="BJ68" s="174"/>
      <c r="BK68" s="174"/>
      <c r="BL68" s="236">
        <f t="shared" si="54"/>
        <v>13001.9</v>
      </c>
      <c r="BM68" s="174"/>
      <c r="BN68" s="174"/>
      <c r="BO68" s="174"/>
      <c r="BP68" s="66"/>
      <c r="BQ68" s="102">
        <f t="shared" ref="BQ68:BQ122" si="67">BL68-AE68</f>
        <v>13001.9</v>
      </c>
      <c r="BR68" s="186">
        <f t="shared" si="36"/>
        <v>99.847946120706197</v>
      </c>
      <c r="BS68" s="186">
        <f t="shared" ref="BS68:BS122" si="68">BL68-AF68</f>
        <v>-19.800000000001091</v>
      </c>
      <c r="BT68" s="186"/>
      <c r="BU68" s="186"/>
      <c r="BV68" s="186"/>
      <c r="BW68" s="236"/>
      <c r="BX68" s="236"/>
    </row>
    <row r="69" spans="1:76" s="136" customFormat="1" ht="33" customHeight="1" outlineLevel="7" x14ac:dyDescent="0.25">
      <c r="A69" s="8"/>
      <c r="B69" s="230" t="s">
        <v>267</v>
      </c>
      <c r="C69" s="10" t="s">
        <v>284</v>
      </c>
      <c r="D69" s="68"/>
      <c r="E69" s="66"/>
      <c r="F69" s="98">
        <f>1474.4-708.9</f>
        <v>765.50000000000011</v>
      </c>
      <c r="G69" s="66"/>
      <c r="H69" s="67"/>
      <c r="I69" s="66"/>
      <c r="J69" s="67"/>
      <c r="K69" s="66"/>
      <c r="L69" s="67">
        <f t="shared" si="60"/>
        <v>0</v>
      </c>
      <c r="M69" s="174" t="e">
        <f>L69+#REF!</f>
        <v>#REF!</v>
      </c>
      <c r="N69" s="176">
        <v>765.5</v>
      </c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6"/>
      <c r="AE69" s="176"/>
      <c r="AF69" s="176">
        <v>1643</v>
      </c>
      <c r="AG69" s="176"/>
      <c r="AH69" s="176">
        <f t="shared" si="58"/>
        <v>1616.9</v>
      </c>
      <c r="AI69" s="176"/>
      <c r="AJ69" s="176"/>
      <c r="AK69" s="176"/>
      <c r="AL69" s="176">
        <f t="shared" si="64"/>
        <v>0</v>
      </c>
      <c r="AM69" s="176">
        <f t="shared" si="64"/>
        <v>0</v>
      </c>
      <c r="AN69" s="174"/>
      <c r="AO69" s="176">
        <f t="shared" si="59"/>
        <v>0</v>
      </c>
      <c r="AP69" s="176">
        <f t="shared" si="59"/>
        <v>0</v>
      </c>
      <c r="AQ69" s="176">
        <f t="shared" si="59"/>
        <v>0</v>
      </c>
      <c r="AR69" s="176">
        <f t="shared" si="59"/>
        <v>0</v>
      </c>
      <c r="AS69" s="174"/>
      <c r="AT69" s="174"/>
      <c r="AU69" s="174"/>
      <c r="AV69" s="174"/>
      <c r="AW69" s="174"/>
      <c r="AX69" s="174"/>
      <c r="AY69" s="174"/>
      <c r="AZ69" s="174">
        <f t="shared" si="28"/>
        <v>0</v>
      </c>
      <c r="BA69" s="174"/>
      <c r="BB69" s="176"/>
      <c r="BC69" s="174"/>
      <c r="BD69" s="174"/>
      <c r="BE69" s="174"/>
      <c r="BF69" s="176"/>
      <c r="BG69" s="174"/>
      <c r="BH69" s="176"/>
      <c r="BI69" s="176"/>
      <c r="BJ69" s="174"/>
      <c r="BK69" s="176">
        <v>1616.9</v>
      </c>
      <c r="BL69" s="236">
        <f t="shared" si="54"/>
        <v>1616.9</v>
      </c>
      <c r="BM69" s="174"/>
      <c r="BN69" s="174"/>
      <c r="BO69" s="174"/>
      <c r="BP69" s="66"/>
      <c r="BQ69" s="102">
        <f t="shared" si="67"/>
        <v>1616.9</v>
      </c>
      <c r="BR69" s="186">
        <f t="shared" si="36"/>
        <v>98.411442483262334</v>
      </c>
      <c r="BS69" s="186">
        <f t="shared" si="68"/>
        <v>-26.099999999999909</v>
      </c>
      <c r="BT69" s="186"/>
      <c r="BU69" s="186"/>
      <c r="BV69" s="186"/>
      <c r="BW69" s="236"/>
      <c r="BX69" s="236"/>
    </row>
    <row r="70" spans="1:76" s="136" customFormat="1" ht="75" outlineLevel="7" x14ac:dyDescent="0.25">
      <c r="A70" s="8"/>
      <c r="B70" s="223" t="s">
        <v>345</v>
      </c>
      <c r="C70" s="10" t="s">
        <v>337</v>
      </c>
      <c r="D70" s="68"/>
      <c r="E70" s="66"/>
      <c r="F70" s="98">
        <v>3317.9</v>
      </c>
      <c r="G70" s="66"/>
      <c r="H70" s="67"/>
      <c r="I70" s="66"/>
      <c r="J70" s="67"/>
      <c r="K70" s="66"/>
      <c r="L70" s="67">
        <f t="shared" si="60"/>
        <v>0</v>
      </c>
      <c r="M70" s="174" t="e">
        <f>L70+#REF!</f>
        <v>#REF!</v>
      </c>
      <c r="N70" s="176">
        <v>3316.6</v>
      </c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6"/>
      <c r="AE70" s="176"/>
      <c r="AF70" s="176">
        <v>3.4</v>
      </c>
      <c r="AG70" s="176"/>
      <c r="AH70" s="176">
        <f t="shared" si="58"/>
        <v>0</v>
      </c>
      <c r="AI70" s="176"/>
      <c r="AJ70" s="176"/>
      <c r="AK70" s="176"/>
      <c r="AL70" s="176">
        <f t="shared" si="64"/>
        <v>0</v>
      </c>
      <c r="AM70" s="176">
        <f t="shared" si="64"/>
        <v>0</v>
      </c>
      <c r="AN70" s="174"/>
      <c r="AO70" s="176">
        <f t="shared" si="59"/>
        <v>0</v>
      </c>
      <c r="AP70" s="176">
        <f t="shared" si="59"/>
        <v>0</v>
      </c>
      <c r="AQ70" s="176">
        <f t="shared" si="59"/>
        <v>0</v>
      </c>
      <c r="AR70" s="176">
        <f t="shared" si="59"/>
        <v>0</v>
      </c>
      <c r="AS70" s="174"/>
      <c r="AT70" s="174"/>
      <c r="AU70" s="174"/>
      <c r="AV70" s="174"/>
      <c r="AW70" s="174"/>
      <c r="AX70" s="174"/>
      <c r="AY70" s="174"/>
      <c r="AZ70" s="174">
        <f t="shared" si="28"/>
        <v>0</v>
      </c>
      <c r="BA70" s="174"/>
      <c r="BB70" s="176"/>
      <c r="BC70" s="174"/>
      <c r="BD70" s="174"/>
      <c r="BE70" s="174"/>
      <c r="BF70" s="176"/>
      <c r="BG70" s="174"/>
      <c r="BH70" s="174"/>
      <c r="BI70" s="174"/>
      <c r="BJ70" s="174"/>
      <c r="BK70" s="174"/>
      <c r="BL70" s="236">
        <f t="shared" si="54"/>
        <v>0</v>
      </c>
      <c r="BM70" s="174"/>
      <c r="BN70" s="174"/>
      <c r="BO70" s="174"/>
      <c r="BP70" s="66"/>
      <c r="BQ70" s="102">
        <f t="shared" si="67"/>
        <v>0</v>
      </c>
      <c r="BR70" s="186">
        <f t="shared" si="36"/>
        <v>0</v>
      </c>
      <c r="BS70" s="186">
        <f t="shared" si="68"/>
        <v>-3.4</v>
      </c>
      <c r="BT70" s="186"/>
      <c r="BU70" s="186"/>
      <c r="BV70" s="186"/>
      <c r="BW70" s="236"/>
      <c r="BX70" s="236"/>
    </row>
    <row r="71" spans="1:76" s="136" customFormat="1" ht="24" customHeight="1" outlineLevel="2" x14ac:dyDescent="0.25">
      <c r="A71" s="8" t="s">
        <v>53</v>
      </c>
      <c r="B71" s="22" t="s">
        <v>125</v>
      </c>
      <c r="C71" s="23" t="s">
        <v>6</v>
      </c>
      <c r="D71" s="169">
        <v>216489.2</v>
      </c>
      <c r="E71" s="163">
        <f t="shared" ref="E71:L71" si="69">SUM(E73:E105)+E72</f>
        <v>250650.70000000007</v>
      </c>
      <c r="F71" s="163">
        <f t="shared" si="69"/>
        <v>256991.70000000007</v>
      </c>
      <c r="G71" s="163">
        <f t="shared" si="69"/>
        <v>18328.199999999997</v>
      </c>
      <c r="H71" s="163">
        <f t="shared" si="69"/>
        <v>0</v>
      </c>
      <c r="I71" s="163">
        <f t="shared" si="69"/>
        <v>761.7</v>
      </c>
      <c r="J71" s="163">
        <f t="shared" si="69"/>
        <v>-0.1</v>
      </c>
      <c r="K71" s="163">
        <f t="shared" si="69"/>
        <v>0</v>
      </c>
      <c r="L71" s="163">
        <f t="shared" si="69"/>
        <v>19089.799999999996</v>
      </c>
      <c r="M71" s="106" t="e">
        <f>SUM(M72:M105)</f>
        <v>#REF!</v>
      </c>
      <c r="N71" s="106">
        <f>SUM(N72:N105)</f>
        <v>256406.20000000004</v>
      </c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>
        <v>210042.7</v>
      </c>
      <c r="AE71" s="106">
        <f>SUM(AE72:AE105)</f>
        <v>313509.09999999998</v>
      </c>
      <c r="AF71" s="106">
        <f>SUM(AF72:AF105)</f>
        <v>305396.30000000005</v>
      </c>
      <c r="AG71" s="106"/>
      <c r="AH71" s="106">
        <f t="shared" ref="AH71:BJ71" si="70">SUM(AH72:AH105)</f>
        <v>301998.69999999995</v>
      </c>
      <c r="AI71" s="106">
        <f t="shared" si="70"/>
        <v>21509.400000000005</v>
      </c>
      <c r="AJ71" s="106">
        <f t="shared" si="70"/>
        <v>19603.199999999997</v>
      </c>
      <c r="AK71" s="106">
        <f t="shared" si="70"/>
        <v>34869.200000000004</v>
      </c>
      <c r="AL71" s="106">
        <f t="shared" si="70"/>
        <v>31013.699999999997</v>
      </c>
      <c r="AM71" s="106">
        <f t="shared" si="70"/>
        <v>30987.7</v>
      </c>
      <c r="AN71" s="106">
        <f t="shared" si="70"/>
        <v>31015.9</v>
      </c>
      <c r="AO71" s="106">
        <f t="shared" si="70"/>
        <v>17168.400000000001</v>
      </c>
      <c r="AP71" s="106">
        <f t="shared" si="70"/>
        <v>22212.999999999996</v>
      </c>
      <c r="AQ71" s="106">
        <f t="shared" si="70"/>
        <v>22101.899999999998</v>
      </c>
      <c r="AR71" s="106">
        <f t="shared" si="70"/>
        <v>23518.3</v>
      </c>
      <c r="AS71" s="106">
        <f t="shared" si="70"/>
        <v>27800.3</v>
      </c>
      <c r="AT71" s="106">
        <f t="shared" si="70"/>
        <v>0</v>
      </c>
      <c r="AU71" s="106">
        <f t="shared" si="70"/>
        <v>0</v>
      </c>
      <c r="AV71" s="106">
        <f t="shared" si="70"/>
        <v>0</v>
      </c>
      <c r="AW71" s="106">
        <f t="shared" si="70"/>
        <v>0</v>
      </c>
      <c r="AX71" s="106">
        <f t="shared" si="70"/>
        <v>0</v>
      </c>
      <c r="AY71" s="106">
        <f t="shared" si="70"/>
        <v>0</v>
      </c>
      <c r="AZ71" s="106">
        <f t="shared" si="70"/>
        <v>21509.400000000005</v>
      </c>
      <c r="BA71" s="106">
        <f t="shared" si="70"/>
        <v>19603.199999999997</v>
      </c>
      <c r="BB71" s="106">
        <f t="shared" si="70"/>
        <v>34869.200000000004</v>
      </c>
      <c r="BC71" s="106">
        <f t="shared" si="70"/>
        <v>31013.699999999997</v>
      </c>
      <c r="BD71" s="106">
        <f t="shared" si="70"/>
        <v>30987.7</v>
      </c>
      <c r="BE71" s="106">
        <f t="shared" si="70"/>
        <v>31015.9</v>
      </c>
      <c r="BF71" s="106">
        <f t="shared" si="70"/>
        <v>17168.400000000001</v>
      </c>
      <c r="BG71" s="106">
        <f t="shared" si="70"/>
        <v>22212.999999999996</v>
      </c>
      <c r="BH71" s="106">
        <f t="shared" si="70"/>
        <v>22101.899999999998</v>
      </c>
      <c r="BI71" s="106">
        <f t="shared" si="70"/>
        <v>23518.3</v>
      </c>
      <c r="BJ71" s="106">
        <f t="shared" si="70"/>
        <v>27800.3</v>
      </c>
      <c r="BK71" s="106">
        <f t="shared" ref="BK71" si="71">SUM(BK72:BK105)</f>
        <v>20197.700000000004</v>
      </c>
      <c r="BL71" s="236">
        <f t="shared" si="54"/>
        <v>301998.7</v>
      </c>
      <c r="BM71" s="106"/>
      <c r="BN71" s="106"/>
      <c r="BO71" s="106"/>
      <c r="BP71" s="163">
        <f t="shared" si="41"/>
        <v>96.328527624875974</v>
      </c>
      <c r="BQ71" s="187">
        <f t="shared" si="67"/>
        <v>-11510.399999999965</v>
      </c>
      <c r="BR71" s="187">
        <f t="shared" si="36"/>
        <v>98.887478335526652</v>
      </c>
      <c r="BS71" s="187">
        <f t="shared" si="68"/>
        <v>-3397.6000000000349</v>
      </c>
      <c r="BT71" s="266">
        <f t="shared" ref="BT71:BT124" si="72">BL71/AD71*100</f>
        <v>143.77966956242707</v>
      </c>
      <c r="BU71" s="266">
        <f t="shared" ref="BU71:BU124" si="73">BL71-AD71</f>
        <v>91956</v>
      </c>
      <c r="BV71" s="266"/>
      <c r="BW71" s="106"/>
      <c r="BX71" s="106"/>
    </row>
    <row r="72" spans="1:76" s="136" customFormat="1" ht="73.5" customHeight="1" outlineLevel="7" x14ac:dyDescent="0.25">
      <c r="A72" s="8" t="s">
        <v>54</v>
      </c>
      <c r="B72" s="9" t="s">
        <v>372</v>
      </c>
      <c r="C72" s="10" t="s">
        <v>227</v>
      </c>
      <c r="D72" s="68"/>
      <c r="E72" s="66">
        <v>1173.5</v>
      </c>
      <c r="F72" s="98">
        <f>21.2+32.2+2493.5</f>
        <v>2546.9</v>
      </c>
      <c r="G72" s="66"/>
      <c r="H72" s="67"/>
      <c r="I72" s="66"/>
      <c r="J72" s="67"/>
      <c r="K72" s="66"/>
      <c r="L72" s="67">
        <f t="shared" ref="L72:L73" si="74">K72+J72+I72+H72+G72</f>
        <v>0</v>
      </c>
      <c r="M72" s="174" t="e">
        <f>L72+#REF!</f>
        <v>#REF!</v>
      </c>
      <c r="N72" s="174">
        <v>2546.9</v>
      </c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6"/>
      <c r="AE72" s="176">
        <v>741.1</v>
      </c>
      <c r="AF72" s="176">
        <v>828.9</v>
      </c>
      <c r="AG72" s="176"/>
      <c r="AH72" s="176">
        <f>BL72</f>
        <v>1346.6999999999998</v>
      </c>
      <c r="AI72" s="176"/>
      <c r="AJ72" s="176"/>
      <c r="AK72" s="176"/>
      <c r="AL72" s="176">
        <f t="shared" ref="AL72:AR87" si="75">BC72</f>
        <v>0</v>
      </c>
      <c r="AM72" s="176">
        <f t="shared" si="75"/>
        <v>0</v>
      </c>
      <c r="AN72" s="176">
        <f t="shared" si="75"/>
        <v>828.9</v>
      </c>
      <c r="AO72" s="176">
        <f t="shared" si="75"/>
        <v>0</v>
      </c>
      <c r="AP72" s="176">
        <f t="shared" si="75"/>
        <v>0</v>
      </c>
      <c r="AQ72" s="176">
        <f>BH72</f>
        <v>0</v>
      </c>
      <c r="AR72" s="176">
        <f>BI72</f>
        <v>0</v>
      </c>
      <c r="AS72" s="176"/>
      <c r="AT72" s="176"/>
      <c r="AU72" s="176"/>
      <c r="AV72" s="176"/>
      <c r="AW72" s="176"/>
      <c r="AX72" s="176"/>
      <c r="AY72" s="176"/>
      <c r="AZ72" s="176">
        <f t="shared" ref="AZ72:AZ121" si="76">AU72+AV72+AW72+AX72+AY72</f>
        <v>0</v>
      </c>
      <c r="BA72" s="176"/>
      <c r="BB72" s="176"/>
      <c r="BC72" s="176"/>
      <c r="BD72" s="176"/>
      <c r="BE72" s="176">
        <v>828.9</v>
      </c>
      <c r="BF72" s="176"/>
      <c r="BG72" s="176"/>
      <c r="BH72" s="176"/>
      <c r="BI72" s="176"/>
      <c r="BJ72" s="174"/>
      <c r="BK72" s="176">
        <v>517.79999999999995</v>
      </c>
      <c r="BL72" s="236">
        <f t="shared" si="54"/>
        <v>1346.6999999999998</v>
      </c>
      <c r="BM72" s="70"/>
      <c r="BN72" s="70"/>
      <c r="BO72" s="70"/>
      <c r="BP72" s="66">
        <f t="shared" si="41"/>
        <v>181.71636756173254</v>
      </c>
      <c r="BQ72" s="102">
        <f t="shared" si="67"/>
        <v>605.5999999999998</v>
      </c>
      <c r="BR72" s="186">
        <f t="shared" si="36"/>
        <v>162.4683315237061</v>
      </c>
      <c r="BS72" s="186">
        <f t="shared" si="68"/>
        <v>517.79999999999984</v>
      </c>
      <c r="BT72" s="186"/>
      <c r="BU72" s="186"/>
      <c r="BV72" s="186"/>
      <c r="BW72" s="236"/>
      <c r="BX72" s="236"/>
    </row>
    <row r="73" spans="1:76" s="136" customFormat="1" ht="72.75" customHeight="1" outlineLevel="7" x14ac:dyDescent="0.25">
      <c r="A73" s="8"/>
      <c r="B73" s="9" t="s">
        <v>373</v>
      </c>
      <c r="C73" s="10" t="s">
        <v>259</v>
      </c>
      <c r="D73" s="68"/>
      <c r="E73" s="66">
        <f>61.8</f>
        <v>61.8</v>
      </c>
      <c r="F73" s="98">
        <f>25.2+2.8</f>
        <v>28</v>
      </c>
      <c r="G73" s="66"/>
      <c r="H73" s="67"/>
      <c r="I73" s="66"/>
      <c r="J73" s="67"/>
      <c r="K73" s="66"/>
      <c r="L73" s="67">
        <f t="shared" si="74"/>
        <v>0</v>
      </c>
      <c r="M73" s="174" t="e">
        <f>L73+#REF!</f>
        <v>#REF!</v>
      </c>
      <c r="N73" s="174">
        <v>28</v>
      </c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6"/>
      <c r="AE73" s="176">
        <v>39</v>
      </c>
      <c r="AF73" s="176">
        <v>43.6</v>
      </c>
      <c r="AG73" s="176"/>
      <c r="AH73" s="176">
        <f t="shared" ref="AH73:AH105" si="77">BL73</f>
        <v>67.5</v>
      </c>
      <c r="AI73" s="176"/>
      <c r="AJ73" s="176"/>
      <c r="AK73" s="176"/>
      <c r="AL73" s="176">
        <f t="shared" si="75"/>
        <v>0</v>
      </c>
      <c r="AM73" s="176">
        <f t="shared" si="75"/>
        <v>0</v>
      </c>
      <c r="AN73" s="176">
        <f t="shared" si="75"/>
        <v>43.6</v>
      </c>
      <c r="AO73" s="176">
        <f t="shared" si="75"/>
        <v>0</v>
      </c>
      <c r="AP73" s="176">
        <f t="shared" si="75"/>
        <v>0</v>
      </c>
      <c r="AQ73" s="176">
        <f t="shared" si="75"/>
        <v>0</v>
      </c>
      <c r="AR73" s="176">
        <f t="shared" si="75"/>
        <v>0</v>
      </c>
      <c r="AS73" s="176"/>
      <c r="AT73" s="176"/>
      <c r="AU73" s="176"/>
      <c r="AV73" s="176"/>
      <c r="AW73" s="176"/>
      <c r="AX73" s="176"/>
      <c r="AY73" s="176"/>
      <c r="AZ73" s="176">
        <f t="shared" si="76"/>
        <v>0</v>
      </c>
      <c r="BA73" s="176"/>
      <c r="BB73" s="176"/>
      <c r="BC73" s="176"/>
      <c r="BD73" s="176"/>
      <c r="BE73" s="176">
        <v>43.6</v>
      </c>
      <c r="BF73" s="176"/>
      <c r="BG73" s="176"/>
      <c r="BH73" s="176"/>
      <c r="BI73" s="176"/>
      <c r="BJ73" s="174"/>
      <c r="BK73" s="176">
        <v>23.9</v>
      </c>
      <c r="BL73" s="236">
        <f t="shared" si="54"/>
        <v>67.5</v>
      </c>
      <c r="BM73" s="70"/>
      <c r="BN73" s="70"/>
      <c r="BO73" s="70"/>
      <c r="BP73" s="66">
        <f t="shared" si="41"/>
        <v>173.07692307692309</v>
      </c>
      <c r="BQ73" s="102">
        <f t="shared" si="67"/>
        <v>28.5</v>
      </c>
      <c r="BR73" s="186">
        <f t="shared" si="36"/>
        <v>154.81651376146789</v>
      </c>
      <c r="BS73" s="186">
        <f t="shared" si="68"/>
        <v>23.9</v>
      </c>
      <c r="BT73" s="186"/>
      <c r="BU73" s="186"/>
      <c r="BV73" s="186"/>
      <c r="BW73" s="236"/>
      <c r="BX73" s="236"/>
    </row>
    <row r="74" spans="1:76" s="136" customFormat="1" ht="59.25" customHeight="1" outlineLevel="7" x14ac:dyDescent="0.25">
      <c r="A74" s="8" t="s">
        <v>54</v>
      </c>
      <c r="B74" s="9" t="s">
        <v>60</v>
      </c>
      <c r="C74" s="10" t="s">
        <v>59</v>
      </c>
      <c r="D74" s="68"/>
      <c r="E74" s="66">
        <v>8077.5</v>
      </c>
      <c r="F74" s="98">
        <v>3607.7</v>
      </c>
      <c r="G74" s="66"/>
      <c r="H74" s="67"/>
      <c r="I74" s="66">
        <v>572.20000000000005</v>
      </c>
      <c r="J74" s="67"/>
      <c r="K74" s="66"/>
      <c r="L74" s="67">
        <f>K74+J74+I74+H74+G74</f>
        <v>572.20000000000005</v>
      </c>
      <c r="M74" s="174" t="e">
        <f>L74+#REF!</f>
        <v>#REF!</v>
      </c>
      <c r="N74" s="174">
        <v>3607.7</v>
      </c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6"/>
      <c r="AE74" s="176">
        <v>9730.9</v>
      </c>
      <c r="AF74" s="176">
        <v>5382</v>
      </c>
      <c r="AG74" s="176"/>
      <c r="AH74" s="176">
        <f t="shared" si="77"/>
        <v>5382.0000000000009</v>
      </c>
      <c r="AI74" s="176"/>
      <c r="AJ74" s="176"/>
      <c r="AK74" s="176"/>
      <c r="AL74" s="176">
        <f t="shared" si="75"/>
        <v>1910.4</v>
      </c>
      <c r="AM74" s="176">
        <f t="shared" si="75"/>
        <v>0</v>
      </c>
      <c r="AN74" s="176">
        <f t="shared" si="75"/>
        <v>0</v>
      </c>
      <c r="AO74" s="176">
        <f t="shared" si="75"/>
        <v>2234.3000000000002</v>
      </c>
      <c r="AP74" s="176">
        <f t="shared" si="75"/>
        <v>0</v>
      </c>
      <c r="AQ74" s="176">
        <f t="shared" si="75"/>
        <v>1237.3</v>
      </c>
      <c r="AR74" s="176">
        <f t="shared" si="75"/>
        <v>0</v>
      </c>
      <c r="AS74" s="176"/>
      <c r="AT74" s="176"/>
      <c r="AU74" s="176"/>
      <c r="AV74" s="176"/>
      <c r="AW74" s="176"/>
      <c r="AX74" s="176"/>
      <c r="AY74" s="176"/>
      <c r="AZ74" s="176">
        <f t="shared" si="76"/>
        <v>0</v>
      </c>
      <c r="BA74" s="176"/>
      <c r="BB74" s="176"/>
      <c r="BC74" s="176">
        <v>1910.4</v>
      </c>
      <c r="BD74" s="176"/>
      <c r="BE74" s="176"/>
      <c r="BF74" s="176">
        <v>2234.3000000000002</v>
      </c>
      <c r="BG74" s="176"/>
      <c r="BH74" s="176">
        <v>1237.3</v>
      </c>
      <c r="BI74" s="176"/>
      <c r="BJ74" s="174"/>
      <c r="BK74" s="174"/>
      <c r="BL74" s="236">
        <f t="shared" si="54"/>
        <v>5382.0000000000009</v>
      </c>
      <c r="BM74" s="70"/>
      <c r="BN74" s="70"/>
      <c r="BO74" s="70"/>
      <c r="BP74" s="66">
        <f t="shared" si="41"/>
        <v>55.308347634853931</v>
      </c>
      <c r="BQ74" s="102">
        <f t="shared" si="67"/>
        <v>-4348.8999999999987</v>
      </c>
      <c r="BR74" s="186">
        <f t="shared" si="36"/>
        <v>100.00000000000003</v>
      </c>
      <c r="BS74" s="186">
        <f t="shared" si="68"/>
        <v>0</v>
      </c>
      <c r="BT74" s="186"/>
      <c r="BU74" s="186"/>
      <c r="BV74" s="186"/>
      <c r="BW74" s="236"/>
      <c r="BX74" s="236"/>
    </row>
    <row r="75" spans="1:76" s="136" customFormat="1" ht="75" customHeight="1" outlineLevel="7" x14ac:dyDescent="0.25">
      <c r="A75" s="8" t="s">
        <v>54</v>
      </c>
      <c r="B75" s="9" t="s">
        <v>127</v>
      </c>
      <c r="C75" s="10" t="s">
        <v>56</v>
      </c>
      <c r="D75" s="68"/>
      <c r="E75" s="66">
        <v>183</v>
      </c>
      <c r="F75" s="98">
        <f>E75</f>
        <v>183</v>
      </c>
      <c r="G75" s="66">
        <v>150.19999999999999</v>
      </c>
      <c r="H75" s="67"/>
      <c r="I75" s="66"/>
      <c r="J75" s="67"/>
      <c r="K75" s="66"/>
      <c r="L75" s="67">
        <f>K75+J75+I75+H75+G75</f>
        <v>150.19999999999999</v>
      </c>
      <c r="M75" s="174" t="e">
        <f>L75+#REF!</f>
        <v>#REF!</v>
      </c>
      <c r="N75" s="174">
        <v>150.19999999999999</v>
      </c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6"/>
      <c r="AE75" s="176">
        <v>152.5</v>
      </c>
      <c r="AF75" s="176">
        <v>156.6</v>
      </c>
      <c r="AG75" s="176"/>
      <c r="AH75" s="176">
        <f t="shared" si="77"/>
        <v>156.60000000000002</v>
      </c>
      <c r="AI75" s="176">
        <f t="shared" ref="AI75:AR105" si="78">AZ75</f>
        <v>0</v>
      </c>
      <c r="AJ75" s="176">
        <f t="shared" si="78"/>
        <v>39.1</v>
      </c>
      <c r="AK75" s="176">
        <f t="shared" si="78"/>
        <v>0</v>
      </c>
      <c r="AL75" s="176">
        <f t="shared" si="75"/>
        <v>39.200000000000003</v>
      </c>
      <c r="AM75" s="176">
        <f t="shared" si="75"/>
        <v>0</v>
      </c>
      <c r="AN75" s="176">
        <f t="shared" si="75"/>
        <v>0</v>
      </c>
      <c r="AO75" s="176">
        <f t="shared" si="75"/>
        <v>39.1</v>
      </c>
      <c r="AP75" s="176">
        <f t="shared" si="75"/>
        <v>0</v>
      </c>
      <c r="AQ75" s="176">
        <f t="shared" si="75"/>
        <v>0</v>
      </c>
      <c r="AR75" s="176">
        <f t="shared" si="75"/>
        <v>39.200000000000003</v>
      </c>
      <c r="AS75" s="176"/>
      <c r="AT75" s="176"/>
      <c r="AU75" s="176"/>
      <c r="AV75" s="176"/>
      <c r="AW75" s="176"/>
      <c r="AX75" s="176"/>
      <c r="AY75" s="176"/>
      <c r="AZ75" s="176">
        <f t="shared" si="76"/>
        <v>0</v>
      </c>
      <c r="BA75" s="176">
        <v>39.1</v>
      </c>
      <c r="BB75" s="176"/>
      <c r="BC75" s="176">
        <v>39.200000000000003</v>
      </c>
      <c r="BD75" s="176"/>
      <c r="BE75" s="176"/>
      <c r="BF75" s="176">
        <v>39.1</v>
      </c>
      <c r="BG75" s="176"/>
      <c r="BH75" s="176"/>
      <c r="BI75" s="176">
        <v>39.200000000000003</v>
      </c>
      <c r="BJ75" s="174"/>
      <c r="BK75" s="174"/>
      <c r="BL75" s="236">
        <f t="shared" si="54"/>
        <v>156.60000000000002</v>
      </c>
      <c r="BM75" s="70"/>
      <c r="BN75" s="70"/>
      <c r="BO75" s="70"/>
      <c r="BP75" s="66">
        <f t="shared" si="41"/>
        <v>102.68852459016395</v>
      </c>
      <c r="BQ75" s="102">
        <f t="shared" si="67"/>
        <v>4.1000000000000227</v>
      </c>
      <c r="BR75" s="186">
        <f t="shared" si="36"/>
        <v>100.00000000000003</v>
      </c>
      <c r="BS75" s="186">
        <f t="shared" si="68"/>
        <v>0</v>
      </c>
      <c r="BT75" s="186"/>
      <c r="BU75" s="186"/>
      <c r="BV75" s="186"/>
      <c r="BW75" s="236"/>
      <c r="BX75" s="236"/>
    </row>
    <row r="76" spans="1:76" s="136" customFormat="1" ht="45" outlineLevel="7" x14ac:dyDescent="0.25">
      <c r="A76" s="8" t="s">
        <v>54</v>
      </c>
      <c r="B76" s="9" t="s">
        <v>126</v>
      </c>
      <c r="C76" s="10" t="s">
        <v>55</v>
      </c>
      <c r="D76" s="68"/>
      <c r="E76" s="66">
        <v>141540.29999999999</v>
      </c>
      <c r="F76" s="98">
        <v>145319</v>
      </c>
      <c r="G76" s="66">
        <v>12109.9</v>
      </c>
      <c r="H76" s="67"/>
      <c r="I76" s="66"/>
      <c r="J76" s="67"/>
      <c r="K76" s="66"/>
      <c r="L76" s="67">
        <f t="shared" ref="L76:L105" si="79">K76+J76+I76+H76+G76</f>
        <v>12109.9</v>
      </c>
      <c r="M76" s="174" t="e">
        <f>L76+#REF!</f>
        <v>#REF!</v>
      </c>
      <c r="N76" s="174">
        <v>145319</v>
      </c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6"/>
      <c r="AE76" s="176">
        <v>164667.79999999999</v>
      </c>
      <c r="AF76" s="176">
        <v>166899.6</v>
      </c>
      <c r="AG76" s="176"/>
      <c r="AH76" s="176">
        <f t="shared" si="77"/>
        <v>166899.59999999998</v>
      </c>
      <c r="AI76" s="176">
        <f t="shared" si="78"/>
        <v>13036.2</v>
      </c>
      <c r="AJ76" s="176">
        <f t="shared" si="78"/>
        <v>13036.2</v>
      </c>
      <c r="AK76" s="176">
        <f t="shared" si="78"/>
        <v>13036.2</v>
      </c>
      <c r="AL76" s="176">
        <f t="shared" si="75"/>
        <v>13036.2</v>
      </c>
      <c r="AM76" s="176">
        <f t="shared" si="75"/>
        <v>20805.8</v>
      </c>
      <c r="AN76" s="176">
        <f t="shared" si="75"/>
        <v>20910.099999999999</v>
      </c>
      <c r="AO76" s="176">
        <f t="shared" si="75"/>
        <v>7958.9</v>
      </c>
      <c r="AP76" s="176">
        <f t="shared" si="75"/>
        <v>9446.7999999999993</v>
      </c>
      <c r="AQ76" s="176">
        <f t="shared" si="75"/>
        <v>13908.3</v>
      </c>
      <c r="AR76" s="176">
        <f t="shared" si="75"/>
        <v>13908.3</v>
      </c>
      <c r="AS76" s="176">
        <f>BJ76</f>
        <v>13908.3</v>
      </c>
      <c r="AT76" s="176"/>
      <c r="AU76" s="176"/>
      <c r="AV76" s="176"/>
      <c r="AW76" s="176"/>
      <c r="AX76" s="176"/>
      <c r="AY76" s="176"/>
      <c r="AZ76" s="176">
        <v>13036.2</v>
      </c>
      <c r="BA76" s="176">
        <v>13036.2</v>
      </c>
      <c r="BB76" s="176">
        <v>13036.2</v>
      </c>
      <c r="BC76" s="176">
        <v>13036.2</v>
      </c>
      <c r="BD76" s="176">
        <v>20805.8</v>
      </c>
      <c r="BE76" s="176">
        <v>20910.099999999999</v>
      </c>
      <c r="BF76" s="176">
        <v>7958.9</v>
      </c>
      <c r="BG76" s="176">
        <v>9446.7999999999993</v>
      </c>
      <c r="BH76" s="176">
        <v>13908.3</v>
      </c>
      <c r="BI76" s="176">
        <v>13908.3</v>
      </c>
      <c r="BJ76" s="176">
        <v>13908.3</v>
      </c>
      <c r="BK76" s="176">
        <v>13908.3</v>
      </c>
      <c r="BL76" s="236">
        <f t="shared" si="54"/>
        <v>166899.59999999998</v>
      </c>
      <c r="BM76" s="70"/>
      <c r="BN76" s="70"/>
      <c r="BO76" s="70"/>
      <c r="BP76" s="66">
        <f t="shared" si="41"/>
        <v>101.35533480133942</v>
      </c>
      <c r="BQ76" s="102">
        <f t="shared" si="67"/>
        <v>2231.7999999999884</v>
      </c>
      <c r="BR76" s="186">
        <f t="shared" si="36"/>
        <v>99.999999999999972</v>
      </c>
      <c r="BS76" s="186">
        <f t="shared" si="68"/>
        <v>0</v>
      </c>
      <c r="BT76" s="186"/>
      <c r="BU76" s="186"/>
      <c r="BV76" s="186"/>
      <c r="BW76" s="236"/>
      <c r="BX76" s="236"/>
    </row>
    <row r="77" spans="1:76" s="136" customFormat="1" ht="45.75" customHeight="1" outlineLevel="7" x14ac:dyDescent="0.25">
      <c r="A77" s="8"/>
      <c r="B77" s="9" t="s">
        <v>269</v>
      </c>
      <c r="C77" s="10" t="s">
        <v>270</v>
      </c>
      <c r="D77" s="68"/>
      <c r="E77" s="66">
        <v>55531.7</v>
      </c>
      <c r="F77" s="98">
        <v>61865.4</v>
      </c>
      <c r="G77" s="66">
        <v>5155.5</v>
      </c>
      <c r="H77" s="67"/>
      <c r="I77" s="66"/>
      <c r="J77" s="67"/>
      <c r="K77" s="66"/>
      <c r="L77" s="67">
        <f t="shared" si="79"/>
        <v>5155.5</v>
      </c>
      <c r="M77" s="174" t="e">
        <f>L77+#REF!</f>
        <v>#REF!</v>
      </c>
      <c r="N77" s="174">
        <v>61865.4</v>
      </c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6"/>
      <c r="AE77" s="176">
        <v>61782.7</v>
      </c>
      <c r="AF77" s="176">
        <v>62622.2</v>
      </c>
      <c r="AG77" s="176"/>
      <c r="AH77" s="176">
        <f t="shared" si="77"/>
        <v>62622.2</v>
      </c>
      <c r="AI77" s="176">
        <f t="shared" si="78"/>
        <v>4891.1000000000004</v>
      </c>
      <c r="AJ77" s="176">
        <f t="shared" si="78"/>
        <v>4891.2</v>
      </c>
      <c r="AK77" s="176">
        <f t="shared" si="78"/>
        <v>4891.1000000000004</v>
      </c>
      <c r="AL77" s="176">
        <f t="shared" si="75"/>
        <v>4891.1000000000004</v>
      </c>
      <c r="AM77" s="176">
        <f t="shared" si="75"/>
        <v>7806.3</v>
      </c>
      <c r="AN77" s="176">
        <f t="shared" si="75"/>
        <v>7845.4</v>
      </c>
      <c r="AO77" s="176">
        <f t="shared" si="75"/>
        <v>2986.1</v>
      </c>
      <c r="AP77" s="176">
        <f t="shared" si="75"/>
        <v>3545.8</v>
      </c>
      <c r="AQ77" s="176">
        <f t="shared" si="75"/>
        <v>5218.6000000000004</v>
      </c>
      <c r="AR77" s="176">
        <f t="shared" si="75"/>
        <v>5218.5</v>
      </c>
      <c r="AS77" s="176">
        <f>BJ77</f>
        <v>5218.5</v>
      </c>
      <c r="AT77" s="176"/>
      <c r="AU77" s="176"/>
      <c r="AV77" s="176"/>
      <c r="AW77" s="176"/>
      <c r="AX77" s="176"/>
      <c r="AY77" s="176"/>
      <c r="AZ77" s="176">
        <v>4891.1000000000004</v>
      </c>
      <c r="BA77" s="176">
        <v>4891.2</v>
      </c>
      <c r="BB77" s="176">
        <v>4891.1000000000004</v>
      </c>
      <c r="BC77" s="176">
        <v>4891.1000000000004</v>
      </c>
      <c r="BD77" s="176">
        <v>7806.3</v>
      </c>
      <c r="BE77" s="176">
        <v>7845.4</v>
      </c>
      <c r="BF77" s="176">
        <v>2986.1</v>
      </c>
      <c r="BG77" s="176">
        <v>3545.8</v>
      </c>
      <c r="BH77" s="176">
        <v>5218.6000000000004</v>
      </c>
      <c r="BI77" s="176">
        <v>5218.5</v>
      </c>
      <c r="BJ77" s="176">
        <v>5218.5</v>
      </c>
      <c r="BK77" s="176">
        <v>5218.5</v>
      </c>
      <c r="BL77" s="236">
        <f t="shared" si="54"/>
        <v>62622.2</v>
      </c>
      <c r="BM77" s="70"/>
      <c r="BN77" s="70"/>
      <c r="BO77" s="70"/>
      <c r="BP77" s="66">
        <f t="shared" si="41"/>
        <v>101.35879461402627</v>
      </c>
      <c r="BQ77" s="102">
        <f t="shared" si="67"/>
        <v>839.5</v>
      </c>
      <c r="BR77" s="186">
        <f t="shared" si="36"/>
        <v>100</v>
      </c>
      <c r="BS77" s="186">
        <f t="shared" si="68"/>
        <v>0</v>
      </c>
      <c r="BT77" s="186"/>
      <c r="BU77" s="186"/>
      <c r="BV77" s="186"/>
      <c r="BW77" s="236"/>
      <c r="BX77" s="236"/>
    </row>
    <row r="78" spans="1:76" s="136" customFormat="1" ht="91.5" customHeight="1" outlineLevel="7" x14ac:dyDescent="0.25">
      <c r="A78" s="8" t="s">
        <v>54</v>
      </c>
      <c r="B78" s="11" t="s">
        <v>128</v>
      </c>
      <c r="C78" s="20" t="s">
        <v>57</v>
      </c>
      <c r="D78" s="68"/>
      <c r="E78" s="66">
        <v>377.6</v>
      </c>
      <c r="F78" s="98">
        <f>377.6-66.9</f>
        <v>310.70000000000005</v>
      </c>
      <c r="G78" s="66">
        <v>9.1999999999999993</v>
      </c>
      <c r="H78" s="67"/>
      <c r="I78" s="66"/>
      <c r="J78" s="67">
        <v>-0.1</v>
      </c>
      <c r="K78" s="66"/>
      <c r="L78" s="67">
        <f t="shared" si="79"/>
        <v>9.1</v>
      </c>
      <c r="M78" s="174" t="e">
        <f>L78+#REF!</f>
        <v>#REF!</v>
      </c>
      <c r="N78" s="174">
        <v>310.7</v>
      </c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6"/>
      <c r="AE78" s="176">
        <v>446.6</v>
      </c>
      <c r="AF78" s="176">
        <v>223.3</v>
      </c>
      <c r="AG78" s="176"/>
      <c r="AH78" s="176">
        <f t="shared" si="77"/>
        <v>223.3</v>
      </c>
      <c r="AI78" s="176">
        <f t="shared" si="78"/>
        <v>111.7</v>
      </c>
      <c r="AJ78" s="176">
        <f t="shared" si="78"/>
        <v>0</v>
      </c>
      <c r="AK78" s="176">
        <f t="shared" si="78"/>
        <v>0</v>
      </c>
      <c r="AL78" s="176">
        <f t="shared" si="75"/>
        <v>111.6</v>
      </c>
      <c r="AM78" s="176">
        <f t="shared" si="75"/>
        <v>0</v>
      </c>
      <c r="AN78" s="176">
        <f t="shared" si="75"/>
        <v>0</v>
      </c>
      <c r="AO78" s="176">
        <f t="shared" si="75"/>
        <v>111.7</v>
      </c>
      <c r="AP78" s="176">
        <f t="shared" si="75"/>
        <v>0</v>
      </c>
      <c r="AQ78" s="176">
        <f t="shared" si="75"/>
        <v>-111.7</v>
      </c>
      <c r="AR78" s="176">
        <f t="shared" si="75"/>
        <v>0</v>
      </c>
      <c r="AS78" s="176"/>
      <c r="AT78" s="176"/>
      <c r="AU78" s="176"/>
      <c r="AV78" s="176"/>
      <c r="AW78" s="176"/>
      <c r="AX78" s="176"/>
      <c r="AY78" s="176"/>
      <c r="AZ78" s="176">
        <v>111.7</v>
      </c>
      <c r="BA78" s="176"/>
      <c r="BB78" s="176"/>
      <c r="BC78" s="176">
        <v>111.6</v>
      </c>
      <c r="BD78" s="176"/>
      <c r="BE78" s="176"/>
      <c r="BF78" s="176">
        <v>111.7</v>
      </c>
      <c r="BG78" s="176"/>
      <c r="BH78" s="176">
        <v>-111.7</v>
      </c>
      <c r="BI78" s="176"/>
      <c r="BJ78" s="174"/>
      <c r="BK78" s="174"/>
      <c r="BL78" s="236">
        <f t="shared" si="54"/>
        <v>223.3</v>
      </c>
      <c r="BM78" s="70"/>
      <c r="BN78" s="70"/>
      <c r="BO78" s="70"/>
      <c r="BP78" s="66">
        <f t="shared" si="41"/>
        <v>50</v>
      </c>
      <c r="BQ78" s="102">
        <f t="shared" si="67"/>
        <v>-223.3</v>
      </c>
      <c r="BR78" s="186">
        <f t="shared" si="36"/>
        <v>100</v>
      </c>
      <c r="BS78" s="186">
        <f t="shared" si="68"/>
        <v>0</v>
      </c>
      <c r="BT78" s="186"/>
      <c r="BU78" s="186"/>
      <c r="BV78" s="186"/>
      <c r="BW78" s="236"/>
      <c r="BX78" s="236"/>
    </row>
    <row r="79" spans="1:76" s="136" customFormat="1" ht="80.25" customHeight="1" outlineLevel="7" x14ac:dyDescent="0.25">
      <c r="A79" s="8" t="s">
        <v>54</v>
      </c>
      <c r="B79" s="11" t="s">
        <v>129</v>
      </c>
      <c r="C79" s="10" t="s">
        <v>58</v>
      </c>
      <c r="D79" s="68"/>
      <c r="E79" s="66">
        <v>631.20000000000005</v>
      </c>
      <c r="F79" s="98">
        <v>668.4</v>
      </c>
      <c r="G79" s="66">
        <v>69.599999999999994</v>
      </c>
      <c r="H79" s="67"/>
      <c r="I79" s="66"/>
      <c r="J79" s="67"/>
      <c r="K79" s="66"/>
      <c r="L79" s="67">
        <f t="shared" si="79"/>
        <v>69.599999999999994</v>
      </c>
      <c r="M79" s="174" t="e">
        <f>L79+#REF!</f>
        <v>#REF!</v>
      </c>
      <c r="N79" s="174">
        <v>668.4</v>
      </c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6"/>
      <c r="AE79" s="176">
        <v>766.9</v>
      </c>
      <c r="AF79" s="176">
        <v>766.9</v>
      </c>
      <c r="AG79" s="176"/>
      <c r="AH79" s="176">
        <f t="shared" si="77"/>
        <v>766.90000000000009</v>
      </c>
      <c r="AI79" s="176">
        <f t="shared" si="78"/>
        <v>191.7</v>
      </c>
      <c r="AJ79" s="176">
        <f t="shared" si="78"/>
        <v>0</v>
      </c>
      <c r="AK79" s="176">
        <f t="shared" si="78"/>
        <v>0</v>
      </c>
      <c r="AL79" s="176">
        <f t="shared" si="75"/>
        <v>191.8</v>
      </c>
      <c r="AM79" s="176">
        <f t="shared" si="75"/>
        <v>0</v>
      </c>
      <c r="AN79" s="176">
        <f t="shared" si="75"/>
        <v>-0.1</v>
      </c>
      <c r="AO79" s="176">
        <f t="shared" si="75"/>
        <v>191.8</v>
      </c>
      <c r="AP79" s="176">
        <f t="shared" si="75"/>
        <v>0</v>
      </c>
      <c r="AQ79" s="176">
        <f t="shared" si="75"/>
        <v>0</v>
      </c>
      <c r="AR79" s="176">
        <f t="shared" si="75"/>
        <v>191.7</v>
      </c>
      <c r="AS79" s="176"/>
      <c r="AT79" s="176"/>
      <c r="AU79" s="176"/>
      <c r="AV79" s="176"/>
      <c r="AW79" s="176"/>
      <c r="AX79" s="176"/>
      <c r="AY79" s="176"/>
      <c r="AZ79" s="176">
        <v>191.7</v>
      </c>
      <c r="BA79" s="176"/>
      <c r="BB79" s="176"/>
      <c r="BC79" s="176">
        <v>191.8</v>
      </c>
      <c r="BD79" s="176"/>
      <c r="BE79" s="176">
        <v>-0.1</v>
      </c>
      <c r="BF79" s="176">
        <v>191.8</v>
      </c>
      <c r="BG79" s="176"/>
      <c r="BH79" s="176"/>
      <c r="BI79" s="176">
        <v>191.7</v>
      </c>
      <c r="BJ79" s="174"/>
      <c r="BK79" s="174"/>
      <c r="BL79" s="236">
        <f t="shared" si="54"/>
        <v>766.90000000000009</v>
      </c>
      <c r="BM79" s="70"/>
      <c r="BN79" s="70"/>
      <c r="BO79" s="70"/>
      <c r="BP79" s="66">
        <f t="shared" si="41"/>
        <v>100.00000000000003</v>
      </c>
      <c r="BQ79" s="102">
        <f t="shared" si="67"/>
        <v>0</v>
      </c>
      <c r="BR79" s="186">
        <f t="shared" si="36"/>
        <v>100.00000000000003</v>
      </c>
      <c r="BS79" s="186">
        <f t="shared" si="68"/>
        <v>0</v>
      </c>
      <c r="BT79" s="186"/>
      <c r="BU79" s="186"/>
      <c r="BV79" s="186"/>
      <c r="BW79" s="236"/>
      <c r="BX79" s="236"/>
    </row>
    <row r="80" spans="1:76" s="136" customFormat="1" ht="78" hidden="1" customHeight="1" outlineLevel="7" x14ac:dyDescent="0.25">
      <c r="A80" s="8" t="s">
        <v>54</v>
      </c>
      <c r="B80" s="9" t="s">
        <v>62</v>
      </c>
      <c r="C80" s="10" t="s">
        <v>61</v>
      </c>
      <c r="D80" s="68"/>
      <c r="E80" s="66">
        <v>514.70000000000005</v>
      </c>
      <c r="F80" s="98">
        <v>563.20000000000005</v>
      </c>
      <c r="G80" s="66"/>
      <c r="H80" s="67"/>
      <c r="I80" s="66"/>
      <c r="J80" s="67"/>
      <c r="K80" s="66"/>
      <c r="L80" s="67">
        <f t="shared" si="79"/>
        <v>0</v>
      </c>
      <c r="M80" s="174" t="e">
        <f>L80+#REF!</f>
        <v>#REF!</v>
      </c>
      <c r="N80" s="174">
        <v>563.20000000000005</v>
      </c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6"/>
      <c r="AE80" s="176"/>
      <c r="AF80" s="176"/>
      <c r="AG80" s="176"/>
      <c r="AH80" s="176">
        <f t="shared" si="77"/>
        <v>0</v>
      </c>
      <c r="AI80" s="176">
        <f t="shared" si="78"/>
        <v>0</v>
      </c>
      <c r="AJ80" s="176">
        <f t="shared" si="78"/>
        <v>0</v>
      </c>
      <c r="AK80" s="176">
        <f t="shared" si="78"/>
        <v>0</v>
      </c>
      <c r="AL80" s="176">
        <f t="shared" si="75"/>
        <v>0</v>
      </c>
      <c r="AM80" s="176">
        <f t="shared" si="75"/>
        <v>0</v>
      </c>
      <c r="AN80" s="176">
        <f t="shared" si="75"/>
        <v>0</v>
      </c>
      <c r="AO80" s="176">
        <f t="shared" si="75"/>
        <v>0</v>
      </c>
      <c r="AP80" s="176">
        <f t="shared" si="75"/>
        <v>0</v>
      </c>
      <c r="AQ80" s="176">
        <f t="shared" si="75"/>
        <v>0</v>
      </c>
      <c r="AR80" s="176">
        <f t="shared" si="75"/>
        <v>0</v>
      </c>
      <c r="AS80" s="176"/>
      <c r="AT80" s="176"/>
      <c r="AU80" s="176"/>
      <c r="AV80" s="176"/>
      <c r="AW80" s="176"/>
      <c r="AX80" s="176"/>
      <c r="AY80" s="176"/>
      <c r="AZ80" s="176">
        <f t="shared" si="76"/>
        <v>0</v>
      </c>
      <c r="BA80" s="176"/>
      <c r="BB80" s="176"/>
      <c r="BC80" s="176"/>
      <c r="BD80" s="176"/>
      <c r="BE80" s="176"/>
      <c r="BF80" s="176"/>
      <c r="BG80" s="176"/>
      <c r="BH80" s="176"/>
      <c r="BI80" s="176"/>
      <c r="BJ80" s="174"/>
      <c r="BK80" s="174"/>
      <c r="BL80" s="236">
        <f t="shared" si="54"/>
        <v>0</v>
      </c>
      <c r="BM80" s="70"/>
      <c r="BN80" s="70"/>
      <c r="BO80" s="70"/>
      <c r="BP80" s="66" t="e">
        <f t="shared" si="41"/>
        <v>#DIV/0!</v>
      </c>
      <c r="BQ80" s="102">
        <f t="shared" si="67"/>
        <v>0</v>
      </c>
      <c r="BR80" s="186" t="e">
        <f t="shared" si="36"/>
        <v>#DIV/0!</v>
      </c>
      <c r="BS80" s="186">
        <f t="shared" si="68"/>
        <v>0</v>
      </c>
      <c r="BT80" s="186"/>
      <c r="BU80" s="186"/>
      <c r="BV80" s="186"/>
      <c r="BW80" s="236"/>
      <c r="BX80" s="236"/>
    </row>
    <row r="81" spans="1:76" s="136" customFormat="1" ht="45" outlineLevel="7" x14ac:dyDescent="0.25">
      <c r="A81" s="8" t="s">
        <v>54</v>
      </c>
      <c r="B81" s="11" t="s">
        <v>130</v>
      </c>
      <c r="C81" s="10" t="s">
        <v>63</v>
      </c>
      <c r="D81" s="68"/>
      <c r="E81" s="66">
        <v>431</v>
      </c>
      <c r="F81" s="98">
        <v>431</v>
      </c>
      <c r="G81" s="66"/>
      <c r="H81" s="67"/>
      <c r="I81" s="66"/>
      <c r="J81" s="67"/>
      <c r="K81" s="66"/>
      <c r="L81" s="67">
        <f t="shared" si="79"/>
        <v>0</v>
      </c>
      <c r="M81" s="174" t="e">
        <f>L81+#REF!</f>
        <v>#REF!</v>
      </c>
      <c r="N81" s="174">
        <v>431</v>
      </c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6"/>
      <c r="AE81" s="176">
        <v>783.8</v>
      </c>
      <c r="AF81" s="176">
        <v>206.8</v>
      </c>
      <c r="AG81" s="176"/>
      <c r="AH81" s="176">
        <f t="shared" si="77"/>
        <v>206.79999999999998</v>
      </c>
      <c r="AI81" s="176">
        <f t="shared" si="78"/>
        <v>0</v>
      </c>
      <c r="AJ81" s="176">
        <f t="shared" si="78"/>
        <v>0</v>
      </c>
      <c r="AK81" s="176">
        <f t="shared" si="78"/>
        <v>0</v>
      </c>
      <c r="AL81" s="176">
        <f t="shared" si="75"/>
        <v>38.1</v>
      </c>
      <c r="AM81" s="176">
        <f t="shared" si="75"/>
        <v>168.7</v>
      </c>
      <c r="AN81" s="176">
        <f t="shared" si="75"/>
        <v>0</v>
      </c>
      <c r="AO81" s="176">
        <f t="shared" si="75"/>
        <v>0</v>
      </c>
      <c r="AP81" s="176">
        <f t="shared" si="75"/>
        <v>0</v>
      </c>
      <c r="AQ81" s="176">
        <f t="shared" si="75"/>
        <v>0</v>
      </c>
      <c r="AR81" s="176">
        <f t="shared" si="75"/>
        <v>0</v>
      </c>
      <c r="AS81" s="176"/>
      <c r="AT81" s="176"/>
      <c r="AU81" s="176"/>
      <c r="AV81" s="176"/>
      <c r="AW81" s="176"/>
      <c r="AX81" s="176"/>
      <c r="AY81" s="176"/>
      <c r="AZ81" s="176">
        <f t="shared" si="76"/>
        <v>0</v>
      </c>
      <c r="BA81" s="176"/>
      <c r="BB81" s="176"/>
      <c r="BC81" s="176">
        <v>38.1</v>
      </c>
      <c r="BD81" s="176">
        <v>168.7</v>
      </c>
      <c r="BE81" s="176"/>
      <c r="BF81" s="176"/>
      <c r="BG81" s="176"/>
      <c r="BH81" s="176"/>
      <c r="BI81" s="176"/>
      <c r="BJ81" s="174"/>
      <c r="BK81" s="174"/>
      <c r="BL81" s="236">
        <f t="shared" si="54"/>
        <v>206.79999999999998</v>
      </c>
      <c r="BM81" s="70"/>
      <c r="BN81" s="70"/>
      <c r="BO81" s="70"/>
      <c r="BP81" s="66">
        <f t="shared" si="41"/>
        <v>26.384281704516461</v>
      </c>
      <c r="BQ81" s="102">
        <f t="shared" si="67"/>
        <v>-577</v>
      </c>
      <c r="BR81" s="186">
        <f t="shared" si="36"/>
        <v>99.999999999999986</v>
      </c>
      <c r="BS81" s="186">
        <f t="shared" si="68"/>
        <v>0</v>
      </c>
      <c r="BT81" s="186"/>
      <c r="BU81" s="186"/>
      <c r="BV81" s="186"/>
      <c r="BW81" s="236"/>
      <c r="BX81" s="236"/>
    </row>
    <row r="82" spans="1:76" s="136" customFormat="1" ht="121.5" customHeight="1" outlineLevel="7" x14ac:dyDescent="0.25">
      <c r="A82" s="8" t="s">
        <v>54</v>
      </c>
      <c r="B82" s="11" t="s">
        <v>131</v>
      </c>
      <c r="C82" s="10" t="s">
        <v>68</v>
      </c>
      <c r="D82" s="68"/>
      <c r="E82" s="66">
        <v>493.1</v>
      </c>
      <c r="F82" s="98">
        <f t="shared" si="33"/>
        <v>493.1</v>
      </c>
      <c r="G82" s="66">
        <v>41.1</v>
      </c>
      <c r="H82" s="67"/>
      <c r="I82" s="66"/>
      <c r="J82" s="67"/>
      <c r="K82" s="66"/>
      <c r="L82" s="67">
        <f t="shared" si="79"/>
        <v>41.1</v>
      </c>
      <c r="M82" s="174" t="e">
        <f>L82+#REF!</f>
        <v>#REF!</v>
      </c>
      <c r="N82" s="174">
        <v>493.1</v>
      </c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6"/>
      <c r="AE82" s="176">
        <v>480.6</v>
      </c>
      <c r="AF82" s="176">
        <v>480.6</v>
      </c>
      <c r="AG82" s="176"/>
      <c r="AH82" s="176">
        <f t="shared" si="77"/>
        <v>480.6</v>
      </c>
      <c r="AI82" s="176">
        <f t="shared" si="78"/>
        <v>120.2</v>
      </c>
      <c r="AJ82" s="176">
        <f t="shared" si="78"/>
        <v>0</v>
      </c>
      <c r="AK82" s="176">
        <f t="shared" si="78"/>
        <v>0</v>
      </c>
      <c r="AL82" s="176">
        <f t="shared" si="75"/>
        <v>120.1</v>
      </c>
      <c r="AM82" s="176">
        <f t="shared" si="75"/>
        <v>0</v>
      </c>
      <c r="AN82" s="176">
        <f t="shared" si="75"/>
        <v>0</v>
      </c>
      <c r="AO82" s="176">
        <f t="shared" si="75"/>
        <v>120.1</v>
      </c>
      <c r="AP82" s="176">
        <f t="shared" si="75"/>
        <v>0</v>
      </c>
      <c r="AQ82" s="176">
        <f t="shared" si="75"/>
        <v>0.1</v>
      </c>
      <c r="AR82" s="176">
        <f t="shared" si="75"/>
        <v>120.1</v>
      </c>
      <c r="AS82" s="176"/>
      <c r="AT82" s="176"/>
      <c r="AU82" s="176"/>
      <c r="AV82" s="176"/>
      <c r="AW82" s="176"/>
      <c r="AX82" s="176"/>
      <c r="AY82" s="176"/>
      <c r="AZ82" s="176">
        <v>120.2</v>
      </c>
      <c r="BA82" s="176"/>
      <c r="BB82" s="176"/>
      <c r="BC82" s="176">
        <v>120.1</v>
      </c>
      <c r="BD82" s="176"/>
      <c r="BE82" s="176"/>
      <c r="BF82" s="176">
        <v>120.1</v>
      </c>
      <c r="BG82" s="176"/>
      <c r="BH82" s="176">
        <v>0.1</v>
      </c>
      <c r="BI82" s="176">
        <v>120.1</v>
      </c>
      <c r="BJ82" s="174"/>
      <c r="BK82" s="174"/>
      <c r="BL82" s="236">
        <f t="shared" si="54"/>
        <v>480.6</v>
      </c>
      <c r="BM82" s="70"/>
      <c r="BN82" s="70"/>
      <c r="BO82" s="70"/>
      <c r="BP82" s="66">
        <f t="shared" si="41"/>
        <v>100</v>
      </c>
      <c r="BQ82" s="102">
        <f t="shared" si="67"/>
        <v>0</v>
      </c>
      <c r="BR82" s="186">
        <f t="shared" si="36"/>
        <v>100</v>
      </c>
      <c r="BS82" s="186">
        <f t="shared" si="68"/>
        <v>0</v>
      </c>
      <c r="BT82" s="186"/>
      <c r="BU82" s="186"/>
      <c r="BV82" s="186"/>
      <c r="BW82" s="236"/>
      <c r="BX82" s="236"/>
    </row>
    <row r="83" spans="1:76" s="136" customFormat="1" ht="77.25" customHeight="1" outlineLevel="7" x14ac:dyDescent="0.25">
      <c r="A83" s="8" t="s">
        <v>54</v>
      </c>
      <c r="B83" s="12" t="s">
        <v>132</v>
      </c>
      <c r="C83" s="10" t="s">
        <v>69</v>
      </c>
      <c r="D83" s="68"/>
      <c r="E83" s="66">
        <v>2120.6</v>
      </c>
      <c r="F83" s="98">
        <v>2477.5</v>
      </c>
      <c r="G83" s="66">
        <v>295.7</v>
      </c>
      <c r="H83" s="67"/>
      <c r="I83" s="66"/>
      <c r="J83" s="67"/>
      <c r="K83" s="66"/>
      <c r="L83" s="67">
        <f t="shared" si="79"/>
        <v>295.7</v>
      </c>
      <c r="M83" s="174" t="e">
        <f>L83+#REF!</f>
        <v>#REF!</v>
      </c>
      <c r="N83" s="174">
        <v>2477.5</v>
      </c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6"/>
      <c r="AE83" s="176">
        <v>2836.8</v>
      </c>
      <c r="AF83" s="176">
        <v>2996.6</v>
      </c>
      <c r="AG83" s="176"/>
      <c r="AH83" s="176">
        <f t="shared" si="77"/>
        <v>2996.6000000000004</v>
      </c>
      <c r="AI83" s="176">
        <f t="shared" si="78"/>
        <v>709.2</v>
      </c>
      <c r="AJ83" s="176">
        <f t="shared" si="78"/>
        <v>0</v>
      </c>
      <c r="AK83" s="176">
        <f t="shared" si="78"/>
        <v>0</v>
      </c>
      <c r="AL83" s="176">
        <f t="shared" si="75"/>
        <v>709.2</v>
      </c>
      <c r="AM83" s="176">
        <f t="shared" si="75"/>
        <v>0</v>
      </c>
      <c r="AN83" s="176">
        <f t="shared" si="75"/>
        <v>0</v>
      </c>
      <c r="AO83" s="176">
        <f t="shared" si="75"/>
        <v>709.2</v>
      </c>
      <c r="AP83" s="176">
        <f t="shared" si="75"/>
        <v>0</v>
      </c>
      <c r="AQ83" s="176">
        <f t="shared" si="75"/>
        <v>0</v>
      </c>
      <c r="AR83" s="176">
        <f t="shared" si="75"/>
        <v>709.2</v>
      </c>
      <c r="AS83" s="176">
        <f>BJ83</f>
        <v>159.80000000000001</v>
      </c>
      <c r="AT83" s="176"/>
      <c r="AU83" s="176"/>
      <c r="AV83" s="176"/>
      <c r="AW83" s="176"/>
      <c r="AX83" s="176"/>
      <c r="AY83" s="176"/>
      <c r="AZ83" s="176">
        <v>709.2</v>
      </c>
      <c r="BA83" s="176"/>
      <c r="BB83" s="176"/>
      <c r="BC83" s="176">
        <v>709.2</v>
      </c>
      <c r="BD83" s="176"/>
      <c r="BE83" s="176"/>
      <c r="BF83" s="176">
        <v>709.2</v>
      </c>
      <c r="BG83" s="176"/>
      <c r="BH83" s="176"/>
      <c r="BI83" s="176">
        <v>709.2</v>
      </c>
      <c r="BJ83" s="176">
        <v>159.80000000000001</v>
      </c>
      <c r="BK83" s="174"/>
      <c r="BL83" s="236">
        <f t="shared" si="54"/>
        <v>2996.6000000000004</v>
      </c>
      <c r="BM83" s="70"/>
      <c r="BN83" s="70"/>
      <c r="BO83" s="70"/>
      <c r="BP83" s="66">
        <f t="shared" si="41"/>
        <v>105.63310772701638</v>
      </c>
      <c r="BQ83" s="102">
        <f t="shared" si="67"/>
        <v>159.80000000000018</v>
      </c>
      <c r="BR83" s="186">
        <f t="shared" si="36"/>
        <v>100.00000000000003</v>
      </c>
      <c r="BS83" s="186">
        <f t="shared" si="68"/>
        <v>0</v>
      </c>
      <c r="BT83" s="186"/>
      <c r="BU83" s="186"/>
      <c r="BV83" s="186"/>
      <c r="BW83" s="236"/>
      <c r="BX83" s="236"/>
    </row>
    <row r="84" spans="1:76" s="136" customFormat="1" ht="135" outlineLevel="7" x14ac:dyDescent="0.25">
      <c r="A84" s="8" t="s">
        <v>80</v>
      </c>
      <c r="B84" s="237" t="s">
        <v>260</v>
      </c>
      <c r="C84" s="10" t="s">
        <v>70</v>
      </c>
      <c r="D84" s="68"/>
      <c r="E84" s="66"/>
      <c r="F84" s="98"/>
      <c r="G84" s="66"/>
      <c r="H84" s="67"/>
      <c r="I84" s="66"/>
      <c r="J84" s="67"/>
      <c r="K84" s="66"/>
      <c r="L84" s="67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6"/>
      <c r="AE84" s="176">
        <v>15</v>
      </c>
      <c r="AF84" s="176">
        <v>5</v>
      </c>
      <c r="AG84" s="176"/>
      <c r="AH84" s="176">
        <f t="shared" si="77"/>
        <v>0</v>
      </c>
      <c r="AI84" s="176">
        <f t="shared" si="78"/>
        <v>0</v>
      </c>
      <c r="AJ84" s="176">
        <f t="shared" si="78"/>
        <v>0</v>
      </c>
      <c r="AK84" s="176">
        <f t="shared" si="78"/>
        <v>0</v>
      </c>
      <c r="AL84" s="176">
        <f t="shared" si="75"/>
        <v>0</v>
      </c>
      <c r="AM84" s="176">
        <f t="shared" si="75"/>
        <v>0</v>
      </c>
      <c r="AN84" s="176">
        <f t="shared" si="75"/>
        <v>0</v>
      </c>
      <c r="AO84" s="176">
        <f t="shared" si="75"/>
        <v>0</v>
      </c>
      <c r="AP84" s="176">
        <f t="shared" si="75"/>
        <v>0</v>
      </c>
      <c r="AQ84" s="176">
        <f t="shared" si="75"/>
        <v>0</v>
      </c>
      <c r="AR84" s="176">
        <f t="shared" si="75"/>
        <v>0</v>
      </c>
      <c r="AS84" s="176"/>
      <c r="AT84" s="176"/>
      <c r="AU84" s="176"/>
      <c r="AV84" s="176"/>
      <c r="AW84" s="176"/>
      <c r="AX84" s="176"/>
      <c r="AY84" s="176"/>
      <c r="AZ84" s="176">
        <f t="shared" ref="AZ84:AZ85" si="80">AU84+AV84+AW84+AX84+AY84</f>
        <v>0</v>
      </c>
      <c r="BA84" s="176"/>
      <c r="BB84" s="176"/>
      <c r="BC84" s="176"/>
      <c r="BD84" s="176"/>
      <c r="BE84" s="176"/>
      <c r="BF84" s="176"/>
      <c r="BG84" s="176"/>
      <c r="BH84" s="176"/>
      <c r="BI84" s="176"/>
      <c r="BJ84" s="174"/>
      <c r="BK84" s="174"/>
      <c r="BL84" s="236">
        <f t="shared" si="54"/>
        <v>0</v>
      </c>
      <c r="BM84" s="70"/>
      <c r="BN84" s="70"/>
      <c r="BO84" s="70"/>
      <c r="BP84" s="66">
        <f t="shared" si="41"/>
        <v>0</v>
      </c>
      <c r="BQ84" s="102">
        <f t="shared" si="67"/>
        <v>-15</v>
      </c>
      <c r="BR84" s="186">
        <f t="shared" si="36"/>
        <v>0</v>
      </c>
      <c r="BS84" s="186">
        <f t="shared" si="68"/>
        <v>-5</v>
      </c>
      <c r="BT84" s="186"/>
      <c r="BU84" s="186"/>
      <c r="BV84" s="186"/>
      <c r="BW84" s="236"/>
      <c r="BX84" s="236"/>
    </row>
    <row r="85" spans="1:76" s="136" customFormat="1" ht="60" outlineLevel="7" x14ac:dyDescent="0.25">
      <c r="A85" s="8" t="s">
        <v>80</v>
      </c>
      <c r="B85" s="2" t="s">
        <v>72</v>
      </c>
      <c r="C85" s="10" t="s">
        <v>71</v>
      </c>
      <c r="D85" s="68"/>
      <c r="E85" s="66"/>
      <c r="F85" s="98"/>
      <c r="G85" s="66"/>
      <c r="H85" s="67"/>
      <c r="I85" s="66"/>
      <c r="J85" s="67"/>
      <c r="K85" s="66"/>
      <c r="L85" s="67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6"/>
      <c r="AE85" s="176">
        <v>1020.4</v>
      </c>
      <c r="AF85" s="176">
        <v>0</v>
      </c>
      <c r="AG85" s="176"/>
      <c r="AH85" s="176">
        <f t="shared" si="77"/>
        <v>0</v>
      </c>
      <c r="AI85" s="176">
        <f t="shared" si="78"/>
        <v>0</v>
      </c>
      <c r="AJ85" s="176">
        <f t="shared" si="78"/>
        <v>0</v>
      </c>
      <c r="AK85" s="176">
        <f t="shared" si="78"/>
        <v>0</v>
      </c>
      <c r="AL85" s="176">
        <f t="shared" si="75"/>
        <v>0</v>
      </c>
      <c r="AM85" s="176">
        <f t="shared" si="75"/>
        <v>0</v>
      </c>
      <c r="AN85" s="176">
        <f t="shared" si="75"/>
        <v>0</v>
      </c>
      <c r="AO85" s="176">
        <f t="shared" si="75"/>
        <v>0</v>
      </c>
      <c r="AP85" s="176">
        <f t="shared" si="75"/>
        <v>0</v>
      </c>
      <c r="AQ85" s="176">
        <f t="shared" si="75"/>
        <v>0</v>
      </c>
      <c r="AR85" s="176">
        <f t="shared" si="75"/>
        <v>0</v>
      </c>
      <c r="AS85" s="176"/>
      <c r="AT85" s="176"/>
      <c r="AU85" s="176"/>
      <c r="AV85" s="176"/>
      <c r="AW85" s="176"/>
      <c r="AX85" s="176"/>
      <c r="AY85" s="176"/>
      <c r="AZ85" s="176">
        <f t="shared" si="80"/>
        <v>0</v>
      </c>
      <c r="BA85" s="176"/>
      <c r="BB85" s="176"/>
      <c r="BC85" s="176"/>
      <c r="BD85" s="176"/>
      <c r="BE85" s="176"/>
      <c r="BF85" s="176"/>
      <c r="BG85" s="176"/>
      <c r="BH85" s="176"/>
      <c r="BI85" s="176"/>
      <c r="BJ85" s="174"/>
      <c r="BK85" s="174"/>
      <c r="BL85" s="236">
        <f t="shared" si="54"/>
        <v>0</v>
      </c>
      <c r="BM85" s="70"/>
      <c r="BN85" s="70"/>
      <c r="BO85" s="70"/>
      <c r="BP85" s="66">
        <f t="shared" si="41"/>
        <v>0</v>
      </c>
      <c r="BQ85" s="102">
        <f t="shared" si="67"/>
        <v>-1020.4</v>
      </c>
      <c r="BR85" s="186"/>
      <c r="BS85" s="186">
        <f t="shared" si="68"/>
        <v>0</v>
      </c>
      <c r="BT85" s="186"/>
      <c r="BU85" s="186"/>
      <c r="BV85" s="186"/>
      <c r="BW85" s="236"/>
      <c r="BX85" s="236"/>
    </row>
    <row r="86" spans="1:76" s="136" customFormat="1" ht="75.75" customHeight="1" outlineLevel="7" thickBot="1" x14ac:dyDescent="0.3">
      <c r="A86" s="8" t="s">
        <v>54</v>
      </c>
      <c r="B86" s="293" t="s">
        <v>133</v>
      </c>
      <c r="C86" s="282" t="s">
        <v>73</v>
      </c>
      <c r="D86" s="283"/>
      <c r="E86" s="264">
        <v>430.6</v>
      </c>
      <c r="F86" s="257">
        <f t="shared" si="33"/>
        <v>430.6</v>
      </c>
      <c r="G86" s="257"/>
      <c r="H86" s="259"/>
      <c r="I86" s="264"/>
      <c r="J86" s="259"/>
      <c r="K86" s="264"/>
      <c r="L86" s="259">
        <f t="shared" si="79"/>
        <v>0</v>
      </c>
      <c r="M86" s="260" t="e">
        <f>L86+#REF!</f>
        <v>#REF!</v>
      </c>
      <c r="N86" s="260">
        <v>430.6</v>
      </c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1"/>
      <c r="AE86" s="176">
        <v>588.6</v>
      </c>
      <c r="AF86" s="176">
        <v>428.8</v>
      </c>
      <c r="AG86" s="176"/>
      <c r="AH86" s="176">
        <f t="shared" si="77"/>
        <v>428.79999999999995</v>
      </c>
      <c r="AI86" s="176">
        <f t="shared" si="78"/>
        <v>147.1</v>
      </c>
      <c r="AJ86" s="176">
        <f t="shared" si="78"/>
        <v>0</v>
      </c>
      <c r="AK86" s="176">
        <f t="shared" si="78"/>
        <v>0.1</v>
      </c>
      <c r="AL86" s="176">
        <f t="shared" si="75"/>
        <v>147.1</v>
      </c>
      <c r="AM86" s="176">
        <f t="shared" si="75"/>
        <v>0</v>
      </c>
      <c r="AN86" s="176">
        <f t="shared" si="75"/>
        <v>0</v>
      </c>
      <c r="AO86" s="176">
        <f t="shared" si="75"/>
        <v>147.19999999999999</v>
      </c>
      <c r="AP86" s="176">
        <f t="shared" si="75"/>
        <v>0</v>
      </c>
      <c r="AQ86" s="176">
        <f t="shared" si="75"/>
        <v>-12.8</v>
      </c>
      <c r="AR86" s="176">
        <f t="shared" si="75"/>
        <v>0.1</v>
      </c>
      <c r="AS86" s="176"/>
      <c r="AT86" s="176"/>
      <c r="AU86" s="176"/>
      <c r="AV86" s="176"/>
      <c r="AW86" s="176"/>
      <c r="AX86" s="176"/>
      <c r="AY86" s="176"/>
      <c r="AZ86" s="176">
        <v>147.1</v>
      </c>
      <c r="BA86" s="176"/>
      <c r="BB86" s="176">
        <v>0.1</v>
      </c>
      <c r="BC86" s="176">
        <v>147.1</v>
      </c>
      <c r="BD86" s="176"/>
      <c r="BE86" s="176"/>
      <c r="BF86" s="176">
        <v>147.19999999999999</v>
      </c>
      <c r="BG86" s="176"/>
      <c r="BH86" s="176">
        <v>-12.8</v>
      </c>
      <c r="BI86" s="176">
        <v>0.1</v>
      </c>
      <c r="BJ86" s="174"/>
      <c r="BK86" s="260"/>
      <c r="BL86" s="236">
        <f t="shared" si="54"/>
        <v>428.79999999999995</v>
      </c>
      <c r="BM86" s="70"/>
      <c r="BN86" s="70"/>
      <c r="BO86" s="70"/>
      <c r="BP86" s="66">
        <f t="shared" si="41"/>
        <v>72.850832483859989</v>
      </c>
      <c r="BQ86" s="102">
        <f t="shared" si="67"/>
        <v>-159.80000000000007</v>
      </c>
      <c r="BR86" s="186">
        <f t="shared" si="36"/>
        <v>99.999999999999986</v>
      </c>
      <c r="BS86" s="186">
        <f t="shared" si="68"/>
        <v>0</v>
      </c>
      <c r="BT86" s="186"/>
      <c r="BU86" s="186"/>
      <c r="BV86" s="186"/>
      <c r="BW86" s="236"/>
      <c r="BX86" s="236"/>
    </row>
    <row r="87" spans="1:76" s="136" customFormat="1" ht="70.5" customHeight="1" outlineLevel="7" x14ac:dyDescent="0.25">
      <c r="A87" s="8"/>
      <c r="B87" s="292" t="s">
        <v>355</v>
      </c>
      <c r="C87" s="247" t="s">
        <v>282</v>
      </c>
      <c r="D87" s="248"/>
      <c r="E87" s="249"/>
      <c r="F87" s="250"/>
      <c r="G87" s="250"/>
      <c r="H87" s="251"/>
      <c r="I87" s="249"/>
      <c r="J87" s="251"/>
      <c r="K87" s="249"/>
      <c r="L87" s="251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3"/>
      <c r="AE87" s="176"/>
      <c r="AF87" s="176">
        <v>2487.6999999999998</v>
      </c>
      <c r="AG87" s="176"/>
      <c r="AH87" s="176">
        <f t="shared" si="77"/>
        <v>2238.5</v>
      </c>
      <c r="AI87" s="176">
        <f t="shared" si="78"/>
        <v>0</v>
      </c>
      <c r="AJ87" s="176">
        <f t="shared" si="78"/>
        <v>0</v>
      </c>
      <c r="AK87" s="176">
        <f t="shared" si="78"/>
        <v>3413</v>
      </c>
      <c r="AL87" s="176">
        <f t="shared" si="75"/>
        <v>-2593.9</v>
      </c>
      <c r="AM87" s="176">
        <f t="shared" si="75"/>
        <v>0</v>
      </c>
      <c r="AN87" s="176">
        <f t="shared" si="75"/>
        <v>0</v>
      </c>
      <c r="AO87" s="176">
        <f t="shared" si="75"/>
        <v>0</v>
      </c>
      <c r="AP87" s="176">
        <f t="shared" si="75"/>
        <v>5914</v>
      </c>
      <c r="AQ87" s="176">
        <f t="shared" si="75"/>
        <v>-4494.6000000000004</v>
      </c>
      <c r="AR87" s="176">
        <f t="shared" si="75"/>
        <v>0</v>
      </c>
      <c r="AS87" s="176"/>
      <c r="AT87" s="176"/>
      <c r="AU87" s="176"/>
      <c r="AV87" s="176"/>
      <c r="AW87" s="176"/>
      <c r="AX87" s="176"/>
      <c r="AY87" s="176"/>
      <c r="AZ87" s="176"/>
      <c r="BA87" s="176"/>
      <c r="BB87" s="176">
        <v>3413</v>
      </c>
      <c r="BC87" s="176">
        <v>-2593.9</v>
      </c>
      <c r="BD87" s="176"/>
      <c r="BE87" s="176"/>
      <c r="BF87" s="176"/>
      <c r="BG87" s="176">
        <v>5914</v>
      </c>
      <c r="BH87" s="176">
        <v>-4494.6000000000004</v>
      </c>
      <c r="BI87" s="176"/>
      <c r="BJ87" s="174"/>
      <c r="BK87" s="252"/>
      <c r="BL87" s="236">
        <f t="shared" si="54"/>
        <v>2238.5</v>
      </c>
      <c r="BM87" s="70"/>
      <c r="BN87" s="70"/>
      <c r="BO87" s="70"/>
      <c r="BP87" s="66"/>
      <c r="BQ87" s="102">
        <f t="shared" si="67"/>
        <v>2238.5</v>
      </c>
      <c r="BR87" s="186">
        <f t="shared" si="36"/>
        <v>89.982714957591355</v>
      </c>
      <c r="BS87" s="186">
        <f t="shared" si="68"/>
        <v>-249.19999999999982</v>
      </c>
      <c r="BT87" s="186"/>
      <c r="BU87" s="186"/>
      <c r="BV87" s="186"/>
      <c r="BW87" s="236"/>
      <c r="BX87" s="236"/>
    </row>
    <row r="88" spans="1:76" s="136" customFormat="1" ht="66.75" customHeight="1" outlineLevel="7" thickBot="1" x14ac:dyDescent="0.3">
      <c r="A88" s="8"/>
      <c r="B88" s="21" t="s">
        <v>354</v>
      </c>
      <c r="C88" s="291" t="s">
        <v>336</v>
      </c>
      <c r="D88" s="213"/>
      <c r="E88" s="66"/>
      <c r="F88" s="98"/>
      <c r="G88" s="98"/>
      <c r="H88" s="67"/>
      <c r="I88" s="66"/>
      <c r="J88" s="67"/>
      <c r="K88" s="66"/>
      <c r="L88" s="240"/>
      <c r="M88" s="174"/>
      <c r="N88" s="215"/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176"/>
      <c r="AE88" s="176"/>
      <c r="AF88" s="176">
        <v>7877.7</v>
      </c>
      <c r="AG88" s="176"/>
      <c r="AH88" s="176">
        <f t="shared" si="77"/>
        <v>7088.5</v>
      </c>
      <c r="AI88" s="176">
        <f t="shared" si="78"/>
        <v>0</v>
      </c>
      <c r="AJ88" s="176">
        <f t="shared" si="78"/>
        <v>0</v>
      </c>
      <c r="AK88" s="176">
        <f t="shared" si="78"/>
        <v>0</v>
      </c>
      <c r="AL88" s="176">
        <f t="shared" si="78"/>
        <v>2593.9</v>
      </c>
      <c r="AM88" s="176">
        <f t="shared" si="78"/>
        <v>0</v>
      </c>
      <c r="AN88" s="176">
        <f t="shared" si="78"/>
        <v>0</v>
      </c>
      <c r="AO88" s="176">
        <f t="shared" si="78"/>
        <v>0</v>
      </c>
      <c r="AP88" s="176">
        <f t="shared" si="78"/>
        <v>0</v>
      </c>
      <c r="AQ88" s="176">
        <f t="shared" si="78"/>
        <v>4494.6000000000004</v>
      </c>
      <c r="AR88" s="176">
        <f t="shared" si="78"/>
        <v>0</v>
      </c>
      <c r="AS88" s="261"/>
      <c r="AT88" s="261"/>
      <c r="AU88" s="261"/>
      <c r="AV88" s="261"/>
      <c r="AW88" s="261"/>
      <c r="AX88" s="261"/>
      <c r="AY88" s="261"/>
      <c r="AZ88" s="261"/>
      <c r="BA88" s="261"/>
      <c r="BB88" s="176"/>
      <c r="BC88" s="176">
        <v>2593.9</v>
      </c>
      <c r="BD88" s="176"/>
      <c r="BE88" s="176"/>
      <c r="BF88" s="176"/>
      <c r="BG88" s="176"/>
      <c r="BH88" s="176">
        <v>4494.6000000000004</v>
      </c>
      <c r="BI88" s="176"/>
      <c r="BJ88" s="174"/>
      <c r="BK88" s="174"/>
      <c r="BL88" s="236">
        <f t="shared" si="54"/>
        <v>7088.5</v>
      </c>
      <c r="BM88" s="70"/>
      <c r="BN88" s="70"/>
      <c r="BO88" s="70"/>
      <c r="BP88" s="66"/>
      <c r="BQ88" s="102">
        <f t="shared" si="67"/>
        <v>7088.5</v>
      </c>
      <c r="BR88" s="186">
        <f t="shared" si="36"/>
        <v>89.981847493557765</v>
      </c>
      <c r="BS88" s="186">
        <f t="shared" si="68"/>
        <v>-789.19999999999982</v>
      </c>
      <c r="BT88" s="186"/>
      <c r="BU88" s="186"/>
      <c r="BV88" s="186"/>
      <c r="BW88" s="236"/>
      <c r="BX88" s="236"/>
    </row>
    <row r="89" spans="1:76" s="136" customFormat="1" ht="118.5" customHeight="1" outlineLevel="5" collapsed="1" x14ac:dyDescent="0.25">
      <c r="A89" s="8" t="s">
        <v>74</v>
      </c>
      <c r="B89" s="177" t="s">
        <v>276</v>
      </c>
      <c r="C89" s="247" t="s">
        <v>277</v>
      </c>
      <c r="D89" s="248"/>
      <c r="E89" s="249">
        <v>2129.1</v>
      </c>
      <c r="F89" s="250">
        <v>2579.3000000000002</v>
      </c>
      <c r="G89" s="249">
        <v>497</v>
      </c>
      <c r="H89" s="251"/>
      <c r="I89" s="249"/>
      <c r="J89" s="251"/>
      <c r="K89" s="249"/>
      <c r="L89" s="251">
        <f t="shared" si="79"/>
        <v>497</v>
      </c>
      <c r="M89" s="252" t="e">
        <f>L89+#REF!</f>
        <v>#REF!</v>
      </c>
      <c r="N89" s="252">
        <v>2579.3000000000002</v>
      </c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52"/>
      <c r="Z89" s="252"/>
      <c r="AA89" s="252"/>
      <c r="AB89" s="252"/>
      <c r="AC89" s="252"/>
      <c r="AD89" s="253"/>
      <c r="AE89" s="253">
        <v>2268.9</v>
      </c>
      <c r="AF89" s="253">
        <v>2268.9</v>
      </c>
      <c r="AG89" s="253"/>
      <c r="AH89" s="176">
        <f t="shared" si="77"/>
        <v>3542.2</v>
      </c>
      <c r="AI89" s="176">
        <f t="shared" si="78"/>
        <v>567.20000000000005</v>
      </c>
      <c r="AJ89" s="176">
        <f t="shared" si="78"/>
        <v>0</v>
      </c>
      <c r="AK89" s="176">
        <f t="shared" si="78"/>
        <v>0</v>
      </c>
      <c r="AL89" s="176">
        <f t="shared" si="78"/>
        <v>567.29999999999995</v>
      </c>
      <c r="AM89" s="176">
        <f t="shared" si="78"/>
        <v>0</v>
      </c>
      <c r="AN89" s="176">
        <f t="shared" si="78"/>
        <v>0</v>
      </c>
      <c r="AO89" s="176">
        <f t="shared" si="78"/>
        <v>567.20000000000005</v>
      </c>
      <c r="AP89" s="176">
        <f t="shared" si="78"/>
        <v>0</v>
      </c>
      <c r="AQ89" s="176">
        <f t="shared" si="78"/>
        <v>0</v>
      </c>
      <c r="AR89" s="176">
        <f t="shared" si="78"/>
        <v>567.20000000000005</v>
      </c>
      <c r="AS89" s="253">
        <f>BJ89</f>
        <v>1273.3</v>
      </c>
      <c r="AT89" s="253"/>
      <c r="AU89" s="253"/>
      <c r="AV89" s="253"/>
      <c r="AW89" s="253"/>
      <c r="AX89" s="253"/>
      <c r="AY89" s="253"/>
      <c r="AZ89" s="253">
        <v>567.20000000000005</v>
      </c>
      <c r="BA89" s="253"/>
      <c r="BB89" s="253"/>
      <c r="BC89" s="253">
        <v>567.29999999999995</v>
      </c>
      <c r="BD89" s="253"/>
      <c r="BE89" s="253"/>
      <c r="BF89" s="253">
        <v>567.20000000000005</v>
      </c>
      <c r="BG89" s="253"/>
      <c r="BH89" s="253"/>
      <c r="BI89" s="253">
        <v>567.20000000000005</v>
      </c>
      <c r="BJ89" s="253">
        <f>18.8+1254.5</f>
        <v>1273.3</v>
      </c>
      <c r="BK89" s="252"/>
      <c r="BL89" s="236">
        <f t="shared" si="54"/>
        <v>3542.2</v>
      </c>
      <c r="BM89" s="263"/>
      <c r="BN89" s="263"/>
      <c r="BO89" s="263"/>
      <c r="BP89" s="66">
        <f t="shared" si="41"/>
        <v>156.11970558420379</v>
      </c>
      <c r="BQ89" s="102">
        <f t="shared" si="67"/>
        <v>1273.2999999999997</v>
      </c>
      <c r="BR89" s="186">
        <f t="shared" si="36"/>
        <v>156.11970558420379</v>
      </c>
      <c r="BS89" s="186">
        <f t="shared" si="68"/>
        <v>1273.2999999999997</v>
      </c>
      <c r="BT89" s="186"/>
      <c r="BU89" s="186"/>
      <c r="BV89" s="299"/>
      <c r="BW89" s="254"/>
      <c r="BX89" s="254"/>
    </row>
    <row r="90" spans="1:76" s="136" customFormat="1" ht="15.75" hidden="1" outlineLevel="7" x14ac:dyDescent="0.25">
      <c r="A90" s="8"/>
      <c r="B90" s="262"/>
      <c r="C90" s="10"/>
      <c r="D90" s="68"/>
      <c r="E90" s="66"/>
      <c r="F90" s="98"/>
      <c r="G90" s="66"/>
      <c r="H90" s="67"/>
      <c r="I90" s="66"/>
      <c r="J90" s="67"/>
      <c r="K90" s="66"/>
      <c r="L90" s="67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6"/>
      <c r="AE90" s="176">
        <v>9644.6</v>
      </c>
      <c r="AF90" s="176"/>
      <c r="AG90" s="176"/>
      <c r="AH90" s="176">
        <f t="shared" si="77"/>
        <v>0</v>
      </c>
      <c r="AI90" s="176">
        <f t="shared" si="78"/>
        <v>0</v>
      </c>
      <c r="AJ90" s="176">
        <f t="shared" si="78"/>
        <v>0</v>
      </c>
      <c r="AK90" s="176">
        <f t="shared" si="78"/>
        <v>0</v>
      </c>
      <c r="AL90" s="176">
        <f t="shared" si="78"/>
        <v>0</v>
      </c>
      <c r="AM90" s="176">
        <f t="shared" si="78"/>
        <v>0</v>
      </c>
      <c r="AN90" s="176">
        <f t="shared" si="78"/>
        <v>0</v>
      </c>
      <c r="AO90" s="176">
        <f t="shared" si="78"/>
        <v>0</v>
      </c>
      <c r="AP90" s="176">
        <f t="shared" si="78"/>
        <v>0</v>
      </c>
      <c r="AQ90" s="176">
        <f t="shared" si="78"/>
        <v>0</v>
      </c>
      <c r="AR90" s="176">
        <f t="shared" si="78"/>
        <v>0</v>
      </c>
      <c r="AS90" s="176"/>
      <c r="AT90" s="176"/>
      <c r="AU90" s="176"/>
      <c r="AV90" s="176"/>
      <c r="AW90" s="176"/>
      <c r="AX90" s="176"/>
      <c r="AY90" s="176"/>
      <c r="AZ90" s="176">
        <v>0</v>
      </c>
      <c r="BA90" s="176"/>
      <c r="BB90" s="176"/>
      <c r="BC90" s="176"/>
      <c r="BD90" s="176"/>
      <c r="BE90" s="176"/>
      <c r="BF90" s="176"/>
      <c r="BG90" s="176"/>
      <c r="BH90" s="176"/>
      <c r="BI90" s="176"/>
      <c r="BJ90" s="174"/>
      <c r="BK90" s="174"/>
      <c r="BL90" s="236">
        <f t="shared" si="54"/>
        <v>0</v>
      </c>
      <c r="BM90" s="70"/>
      <c r="BN90" s="70"/>
      <c r="BO90" s="70"/>
      <c r="BP90" s="66">
        <f t="shared" si="41"/>
        <v>0</v>
      </c>
      <c r="BQ90" s="102">
        <f t="shared" si="67"/>
        <v>-9644.6</v>
      </c>
      <c r="BR90" s="186" t="e">
        <f t="shared" si="36"/>
        <v>#DIV/0!</v>
      </c>
      <c r="BS90" s="186">
        <f t="shared" si="68"/>
        <v>0</v>
      </c>
      <c r="BT90" s="186"/>
      <c r="BU90" s="186"/>
      <c r="BV90" s="186"/>
      <c r="BW90" s="236"/>
      <c r="BX90" s="236"/>
    </row>
    <row r="91" spans="1:76" s="136" customFormat="1" ht="15.75" hidden="1" outlineLevel="7" x14ac:dyDescent="0.25">
      <c r="A91" s="8"/>
      <c r="B91" s="21"/>
      <c r="C91" s="10"/>
      <c r="D91" s="68"/>
      <c r="E91" s="66"/>
      <c r="F91" s="98"/>
      <c r="G91" s="66"/>
      <c r="H91" s="67"/>
      <c r="I91" s="66"/>
      <c r="J91" s="67"/>
      <c r="K91" s="66"/>
      <c r="L91" s="67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6"/>
      <c r="AE91" s="176">
        <v>3037.6</v>
      </c>
      <c r="AF91" s="176"/>
      <c r="AG91" s="176"/>
      <c r="AH91" s="176">
        <f t="shared" si="77"/>
        <v>0</v>
      </c>
      <c r="AI91" s="176">
        <f t="shared" si="78"/>
        <v>0</v>
      </c>
      <c r="AJ91" s="176">
        <f t="shared" si="78"/>
        <v>0</v>
      </c>
      <c r="AK91" s="176">
        <f t="shared" si="78"/>
        <v>0</v>
      </c>
      <c r="AL91" s="176">
        <f t="shared" si="78"/>
        <v>0</v>
      </c>
      <c r="AM91" s="176">
        <f t="shared" si="78"/>
        <v>0</v>
      </c>
      <c r="AN91" s="176">
        <f t="shared" si="78"/>
        <v>0</v>
      </c>
      <c r="AO91" s="176">
        <f t="shared" si="78"/>
        <v>0</v>
      </c>
      <c r="AP91" s="176">
        <f t="shared" si="78"/>
        <v>0</v>
      </c>
      <c r="AQ91" s="176">
        <f t="shared" si="78"/>
        <v>0</v>
      </c>
      <c r="AR91" s="176">
        <f t="shared" si="78"/>
        <v>0</v>
      </c>
      <c r="AS91" s="176"/>
      <c r="AT91" s="176"/>
      <c r="AU91" s="176"/>
      <c r="AV91" s="176"/>
      <c r="AW91" s="176"/>
      <c r="AX91" s="176"/>
      <c r="AY91" s="176"/>
      <c r="AZ91" s="176">
        <v>0</v>
      </c>
      <c r="BA91" s="176"/>
      <c r="BB91" s="176"/>
      <c r="BC91" s="176"/>
      <c r="BD91" s="176"/>
      <c r="BE91" s="176"/>
      <c r="BF91" s="176"/>
      <c r="BG91" s="176"/>
      <c r="BH91" s="176"/>
      <c r="BI91" s="176"/>
      <c r="BJ91" s="174"/>
      <c r="BK91" s="174"/>
      <c r="BL91" s="236">
        <f t="shared" si="54"/>
        <v>0</v>
      </c>
      <c r="BM91" s="70"/>
      <c r="BN91" s="70"/>
      <c r="BO91" s="70"/>
      <c r="BP91" s="66">
        <f t="shared" si="41"/>
        <v>0</v>
      </c>
      <c r="BQ91" s="102">
        <f t="shared" si="67"/>
        <v>-3037.6</v>
      </c>
      <c r="BR91" s="186" t="e">
        <f t="shared" ref="BR91:BR122" si="81">BL91/AF91*100</f>
        <v>#DIV/0!</v>
      </c>
      <c r="BS91" s="186">
        <f t="shared" si="68"/>
        <v>0</v>
      </c>
      <c r="BT91" s="186"/>
      <c r="BU91" s="186"/>
      <c r="BV91" s="186"/>
      <c r="BW91" s="236"/>
      <c r="BX91" s="236"/>
    </row>
    <row r="92" spans="1:76" s="136" customFormat="1" ht="105" outlineLevel="7" x14ac:dyDescent="0.25">
      <c r="A92" s="8"/>
      <c r="B92" s="2" t="s">
        <v>76</v>
      </c>
      <c r="C92" s="10" t="s">
        <v>75</v>
      </c>
      <c r="D92" s="68"/>
      <c r="E92" s="66"/>
      <c r="F92" s="98"/>
      <c r="G92" s="66"/>
      <c r="H92" s="67"/>
      <c r="I92" s="66"/>
      <c r="J92" s="67"/>
      <c r="K92" s="66"/>
      <c r="L92" s="67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6"/>
      <c r="AE92" s="176">
        <v>8628.7999999999993</v>
      </c>
      <c r="AF92" s="176">
        <v>3822.6</v>
      </c>
      <c r="AG92" s="176"/>
      <c r="AH92" s="176">
        <f t="shared" si="77"/>
        <v>3822.6000000000004</v>
      </c>
      <c r="AI92" s="176">
        <f t="shared" si="78"/>
        <v>0</v>
      </c>
      <c r="AJ92" s="176">
        <f t="shared" si="78"/>
        <v>0</v>
      </c>
      <c r="AK92" s="176">
        <f t="shared" si="78"/>
        <v>1274.2</v>
      </c>
      <c r="AL92" s="176">
        <f t="shared" si="78"/>
        <v>2548.4</v>
      </c>
      <c r="AM92" s="176">
        <f t="shared" si="78"/>
        <v>0</v>
      </c>
      <c r="AN92" s="176">
        <f t="shared" si="78"/>
        <v>0</v>
      </c>
      <c r="AO92" s="176">
        <f t="shared" si="78"/>
        <v>0</v>
      </c>
      <c r="AP92" s="176">
        <f t="shared" si="78"/>
        <v>0</v>
      </c>
      <c r="AQ92" s="176">
        <f t="shared" si="78"/>
        <v>0</v>
      </c>
      <c r="AR92" s="176">
        <f t="shared" si="78"/>
        <v>0</v>
      </c>
      <c r="AS92" s="176"/>
      <c r="AT92" s="176"/>
      <c r="AU92" s="176"/>
      <c r="AV92" s="176"/>
      <c r="AW92" s="176"/>
      <c r="AX92" s="176"/>
      <c r="AY92" s="176"/>
      <c r="AZ92" s="176">
        <v>0</v>
      </c>
      <c r="BA92" s="176"/>
      <c r="BB92" s="176">
        <v>1274.2</v>
      </c>
      <c r="BC92" s="176">
        <v>2548.4</v>
      </c>
      <c r="BD92" s="176"/>
      <c r="BE92" s="176"/>
      <c r="BF92" s="176"/>
      <c r="BG92" s="176"/>
      <c r="BH92" s="176"/>
      <c r="BI92" s="176"/>
      <c r="BJ92" s="174"/>
      <c r="BK92" s="174"/>
      <c r="BL92" s="236">
        <f t="shared" si="54"/>
        <v>3822.6000000000004</v>
      </c>
      <c r="BM92" s="70"/>
      <c r="BN92" s="70"/>
      <c r="BO92" s="70"/>
      <c r="BP92" s="66">
        <f t="shared" si="41"/>
        <v>44.300482106434274</v>
      </c>
      <c r="BQ92" s="102">
        <f t="shared" si="67"/>
        <v>-4806.1999999999989</v>
      </c>
      <c r="BR92" s="186">
        <f t="shared" si="81"/>
        <v>100.00000000000003</v>
      </c>
      <c r="BS92" s="186">
        <f t="shared" si="68"/>
        <v>0</v>
      </c>
      <c r="BT92" s="186"/>
      <c r="BU92" s="186"/>
      <c r="BV92" s="186"/>
      <c r="BW92" s="236"/>
      <c r="BX92" s="236"/>
    </row>
    <row r="93" spans="1:76" s="136" customFormat="1" ht="105" outlineLevel="7" x14ac:dyDescent="0.25">
      <c r="A93" s="8"/>
      <c r="B93" s="2" t="s">
        <v>78</v>
      </c>
      <c r="C93" s="10" t="s">
        <v>77</v>
      </c>
      <c r="D93" s="68"/>
      <c r="E93" s="66"/>
      <c r="F93" s="98"/>
      <c r="G93" s="66"/>
      <c r="H93" s="67"/>
      <c r="I93" s="66"/>
      <c r="J93" s="67"/>
      <c r="K93" s="66"/>
      <c r="L93" s="67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6"/>
      <c r="AE93" s="176">
        <v>7774.9</v>
      </c>
      <c r="AF93" s="176">
        <v>10387.1</v>
      </c>
      <c r="AG93" s="176"/>
      <c r="AH93" s="176">
        <f t="shared" si="77"/>
        <v>7677.7000000000007</v>
      </c>
      <c r="AI93" s="176">
        <f t="shared" si="78"/>
        <v>0</v>
      </c>
      <c r="AJ93" s="176">
        <f t="shared" si="78"/>
        <v>0</v>
      </c>
      <c r="AK93" s="176">
        <f t="shared" si="78"/>
        <v>402.4</v>
      </c>
      <c r="AL93" s="176">
        <f t="shared" si="78"/>
        <v>804.7</v>
      </c>
      <c r="AM93" s="176">
        <f t="shared" si="78"/>
        <v>0</v>
      </c>
      <c r="AN93" s="176">
        <f t="shared" si="78"/>
        <v>0</v>
      </c>
      <c r="AO93" s="176">
        <f t="shared" si="78"/>
        <v>0</v>
      </c>
      <c r="AP93" s="176">
        <f t="shared" si="78"/>
        <v>0</v>
      </c>
      <c r="AQ93" s="176">
        <f t="shared" si="78"/>
        <v>0</v>
      </c>
      <c r="AR93" s="176">
        <f t="shared" si="78"/>
        <v>0</v>
      </c>
      <c r="AS93" s="176">
        <f>BJ93</f>
        <v>6470.6</v>
      </c>
      <c r="AT93" s="176"/>
      <c r="AU93" s="176"/>
      <c r="AV93" s="176"/>
      <c r="AW93" s="176"/>
      <c r="AX93" s="176"/>
      <c r="AY93" s="176"/>
      <c r="AZ93" s="176">
        <v>0</v>
      </c>
      <c r="BA93" s="176"/>
      <c r="BB93" s="176">
        <v>402.4</v>
      </c>
      <c r="BC93" s="176">
        <v>804.7</v>
      </c>
      <c r="BD93" s="176"/>
      <c r="BE93" s="176"/>
      <c r="BF93" s="176"/>
      <c r="BG93" s="176"/>
      <c r="BH93" s="176"/>
      <c r="BI93" s="176"/>
      <c r="BJ93" s="176">
        <v>6470.6</v>
      </c>
      <c r="BK93" s="174"/>
      <c r="BL93" s="236">
        <f t="shared" si="54"/>
        <v>7677.7000000000007</v>
      </c>
      <c r="BM93" s="70"/>
      <c r="BN93" s="70"/>
      <c r="BO93" s="70"/>
      <c r="BP93" s="66">
        <f t="shared" si="41"/>
        <v>98.749823148850808</v>
      </c>
      <c r="BQ93" s="102">
        <f t="shared" si="67"/>
        <v>-97.199999999998909</v>
      </c>
      <c r="BR93" s="186">
        <f t="shared" si="81"/>
        <v>73.915722386421621</v>
      </c>
      <c r="BS93" s="186">
        <f t="shared" si="68"/>
        <v>-2709.3999999999996</v>
      </c>
      <c r="BT93" s="186"/>
      <c r="BU93" s="186"/>
      <c r="BV93" s="186"/>
      <c r="BW93" s="236"/>
      <c r="BX93" s="236"/>
    </row>
    <row r="94" spans="1:76" s="136" customFormat="1" ht="45" outlineLevel="7" x14ac:dyDescent="0.25">
      <c r="A94" s="8" t="s">
        <v>80</v>
      </c>
      <c r="B94" s="238" t="s">
        <v>134</v>
      </c>
      <c r="C94" s="10" t="s">
        <v>79</v>
      </c>
      <c r="D94" s="68"/>
      <c r="E94" s="66">
        <v>73.400000000000006</v>
      </c>
      <c r="F94" s="98">
        <f>E94</f>
        <v>73.400000000000006</v>
      </c>
      <c r="G94" s="66"/>
      <c r="H94" s="67"/>
      <c r="I94" s="66"/>
      <c r="J94" s="67"/>
      <c r="K94" s="66"/>
      <c r="L94" s="67">
        <f>K94+J94+I94+H94+G94</f>
        <v>0</v>
      </c>
      <c r="M94" s="174" t="e">
        <f>L94+#REF!</f>
        <v>#REF!</v>
      </c>
      <c r="N94" s="174">
        <v>73.400000000000006</v>
      </c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6"/>
      <c r="AE94" s="176">
        <v>1.6</v>
      </c>
      <c r="AF94" s="176">
        <v>1.6</v>
      </c>
      <c r="AG94" s="176"/>
      <c r="AH94" s="176">
        <f t="shared" si="77"/>
        <v>1.6</v>
      </c>
      <c r="AI94" s="176">
        <f t="shared" si="78"/>
        <v>0</v>
      </c>
      <c r="AJ94" s="176">
        <f t="shared" si="78"/>
        <v>0</v>
      </c>
      <c r="AK94" s="176">
        <f t="shared" si="78"/>
        <v>0</v>
      </c>
      <c r="AL94" s="176">
        <f t="shared" si="78"/>
        <v>0</v>
      </c>
      <c r="AM94" s="176">
        <f t="shared" si="78"/>
        <v>0</v>
      </c>
      <c r="AN94" s="176">
        <f t="shared" si="78"/>
        <v>0</v>
      </c>
      <c r="AO94" s="176">
        <f t="shared" si="78"/>
        <v>0</v>
      </c>
      <c r="AP94" s="176">
        <f t="shared" si="78"/>
        <v>0</v>
      </c>
      <c r="AQ94" s="176">
        <f t="shared" si="78"/>
        <v>0</v>
      </c>
      <c r="AR94" s="176">
        <f t="shared" si="78"/>
        <v>0</v>
      </c>
      <c r="AS94" s="176">
        <f t="shared" ref="AS94:AS96" si="82">BJ94</f>
        <v>1.6</v>
      </c>
      <c r="AT94" s="176"/>
      <c r="AU94" s="176"/>
      <c r="AV94" s="176"/>
      <c r="AW94" s="176"/>
      <c r="AX94" s="176"/>
      <c r="AY94" s="176"/>
      <c r="AZ94" s="176">
        <f>AU94+AV94+AW94+AX94+AY94</f>
        <v>0</v>
      </c>
      <c r="BA94" s="176"/>
      <c r="BB94" s="176"/>
      <c r="BC94" s="176"/>
      <c r="BD94" s="176"/>
      <c r="BE94" s="176"/>
      <c r="BF94" s="176"/>
      <c r="BG94" s="176"/>
      <c r="BH94" s="176"/>
      <c r="BI94" s="176"/>
      <c r="BJ94" s="176">
        <v>1.6</v>
      </c>
      <c r="BK94" s="174"/>
      <c r="BL94" s="236">
        <f t="shared" si="54"/>
        <v>1.6</v>
      </c>
      <c r="BM94" s="70"/>
      <c r="BN94" s="70"/>
      <c r="BO94" s="70"/>
      <c r="BP94" s="66">
        <f t="shared" ref="BP94:BP118" si="83">BL94/AE94*100</f>
        <v>100</v>
      </c>
      <c r="BQ94" s="102">
        <f t="shared" si="67"/>
        <v>0</v>
      </c>
      <c r="BR94" s="186">
        <f t="shared" si="81"/>
        <v>100</v>
      </c>
      <c r="BS94" s="186">
        <f t="shared" si="68"/>
        <v>0</v>
      </c>
      <c r="BT94" s="186"/>
      <c r="BU94" s="186"/>
      <c r="BV94" s="186"/>
      <c r="BW94" s="236"/>
      <c r="BX94" s="236"/>
    </row>
    <row r="95" spans="1:76" s="136" customFormat="1" ht="84" hidden="1" customHeight="1" outlineLevel="7" x14ac:dyDescent="0.25">
      <c r="A95" s="8" t="s">
        <v>83</v>
      </c>
      <c r="B95" s="9" t="s">
        <v>82</v>
      </c>
      <c r="C95" s="10" t="s">
        <v>81</v>
      </c>
      <c r="D95" s="68"/>
      <c r="E95" s="66">
        <v>2079.6999999999998</v>
      </c>
      <c r="F95" s="98">
        <v>3198.7</v>
      </c>
      <c r="G95" s="66"/>
      <c r="H95" s="67"/>
      <c r="I95" s="66"/>
      <c r="J95" s="67"/>
      <c r="K95" s="66"/>
      <c r="L95" s="67">
        <f t="shared" si="79"/>
        <v>0</v>
      </c>
      <c r="M95" s="174" t="e">
        <f>L95+#REF!</f>
        <v>#REF!</v>
      </c>
      <c r="N95" s="174">
        <v>3198.7</v>
      </c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6"/>
      <c r="AE95" s="176"/>
      <c r="AF95" s="176"/>
      <c r="AG95" s="176"/>
      <c r="AH95" s="176">
        <f t="shared" si="77"/>
        <v>0</v>
      </c>
      <c r="AI95" s="176">
        <f t="shared" si="78"/>
        <v>0</v>
      </c>
      <c r="AJ95" s="176">
        <f t="shared" si="78"/>
        <v>0</v>
      </c>
      <c r="AK95" s="176">
        <f t="shared" si="78"/>
        <v>0</v>
      </c>
      <c r="AL95" s="176">
        <f t="shared" si="78"/>
        <v>0</v>
      </c>
      <c r="AM95" s="176">
        <f t="shared" si="78"/>
        <v>0</v>
      </c>
      <c r="AN95" s="176">
        <f t="shared" si="78"/>
        <v>0</v>
      </c>
      <c r="AO95" s="176">
        <f t="shared" si="78"/>
        <v>0</v>
      </c>
      <c r="AP95" s="176">
        <f t="shared" si="78"/>
        <v>0</v>
      </c>
      <c r="AQ95" s="176">
        <f t="shared" si="78"/>
        <v>0</v>
      </c>
      <c r="AR95" s="176">
        <f t="shared" si="78"/>
        <v>0</v>
      </c>
      <c r="AS95" s="176">
        <f t="shared" si="82"/>
        <v>0</v>
      </c>
      <c r="AT95" s="176"/>
      <c r="AU95" s="176"/>
      <c r="AV95" s="176"/>
      <c r="AW95" s="176"/>
      <c r="AX95" s="176"/>
      <c r="AY95" s="176"/>
      <c r="AZ95" s="176">
        <f t="shared" si="76"/>
        <v>0</v>
      </c>
      <c r="BA95" s="176"/>
      <c r="BB95" s="176"/>
      <c r="BC95" s="176"/>
      <c r="BD95" s="176"/>
      <c r="BE95" s="176"/>
      <c r="BF95" s="176"/>
      <c r="BG95" s="176"/>
      <c r="BH95" s="176"/>
      <c r="BI95" s="176"/>
      <c r="BJ95" s="176"/>
      <c r="BK95" s="174"/>
      <c r="BL95" s="236">
        <f t="shared" si="54"/>
        <v>0</v>
      </c>
      <c r="BM95" s="70"/>
      <c r="BN95" s="70"/>
      <c r="BO95" s="70"/>
      <c r="BP95" s="66" t="e">
        <f t="shared" si="83"/>
        <v>#DIV/0!</v>
      </c>
      <c r="BQ95" s="102">
        <f t="shared" si="67"/>
        <v>0</v>
      </c>
      <c r="BR95" s="186" t="e">
        <f t="shared" si="81"/>
        <v>#DIV/0!</v>
      </c>
      <c r="BS95" s="186">
        <f t="shared" si="68"/>
        <v>0</v>
      </c>
      <c r="BT95" s="186"/>
      <c r="BU95" s="186"/>
      <c r="BV95" s="186"/>
      <c r="BW95" s="236"/>
      <c r="BX95" s="236"/>
    </row>
    <row r="96" spans="1:76" s="136" customFormat="1" ht="65.25" customHeight="1" outlineLevel="7" x14ac:dyDescent="0.25">
      <c r="A96" s="8"/>
      <c r="B96" s="180" t="s">
        <v>142</v>
      </c>
      <c r="C96" s="10" t="s">
        <v>141</v>
      </c>
      <c r="D96" s="68"/>
      <c r="E96" s="66">
        <v>8749.2000000000007</v>
      </c>
      <c r="F96" s="98">
        <f t="shared" ref="F96" si="84">E96</f>
        <v>8749.2000000000007</v>
      </c>
      <c r="G96" s="66"/>
      <c r="H96" s="67"/>
      <c r="I96" s="66">
        <v>189.5</v>
      </c>
      <c r="J96" s="67"/>
      <c r="K96" s="66"/>
      <c r="L96" s="67">
        <f t="shared" si="79"/>
        <v>189.5</v>
      </c>
      <c r="M96" s="174" t="e">
        <f>L96+#REF!</f>
        <v>#REF!</v>
      </c>
      <c r="N96" s="174">
        <v>8196.5</v>
      </c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6"/>
      <c r="AE96" s="176">
        <v>9296.4</v>
      </c>
      <c r="AF96" s="176">
        <v>9296.4</v>
      </c>
      <c r="AG96" s="176"/>
      <c r="AH96" s="176">
        <f t="shared" si="77"/>
        <v>8796.4</v>
      </c>
      <c r="AI96" s="176">
        <f t="shared" si="78"/>
        <v>0</v>
      </c>
      <c r="AJ96" s="176">
        <f t="shared" si="78"/>
        <v>1547.1</v>
      </c>
      <c r="AK96" s="176">
        <f t="shared" si="78"/>
        <v>772.4</v>
      </c>
      <c r="AL96" s="176">
        <f t="shared" si="78"/>
        <v>772.4</v>
      </c>
      <c r="AM96" s="176">
        <f t="shared" si="78"/>
        <v>2206.9</v>
      </c>
      <c r="AN96" s="176">
        <f t="shared" si="78"/>
        <v>0</v>
      </c>
      <c r="AO96" s="176">
        <f t="shared" si="78"/>
        <v>367.8</v>
      </c>
      <c r="AP96" s="176">
        <f t="shared" si="78"/>
        <v>367.8</v>
      </c>
      <c r="AQ96" s="176">
        <f t="shared" si="78"/>
        <v>768.2</v>
      </c>
      <c r="AR96" s="176">
        <f t="shared" si="78"/>
        <v>768.2</v>
      </c>
      <c r="AS96" s="176">
        <f t="shared" si="82"/>
        <v>768.2</v>
      </c>
      <c r="AT96" s="176"/>
      <c r="AU96" s="176"/>
      <c r="AV96" s="176"/>
      <c r="AW96" s="176"/>
      <c r="AX96" s="176"/>
      <c r="AY96" s="176"/>
      <c r="AZ96" s="176">
        <f t="shared" si="76"/>
        <v>0</v>
      </c>
      <c r="BA96" s="176">
        <v>1547.1</v>
      </c>
      <c r="BB96" s="176">
        <v>772.4</v>
      </c>
      <c r="BC96" s="176">
        <v>772.4</v>
      </c>
      <c r="BD96" s="176">
        <v>2206.9</v>
      </c>
      <c r="BE96" s="176"/>
      <c r="BF96" s="176">
        <v>367.8</v>
      </c>
      <c r="BG96" s="176">
        <v>367.8</v>
      </c>
      <c r="BH96" s="176">
        <v>768.2</v>
      </c>
      <c r="BI96" s="176">
        <v>768.2</v>
      </c>
      <c r="BJ96" s="176">
        <v>768.2</v>
      </c>
      <c r="BK96" s="176">
        <v>457.4</v>
      </c>
      <c r="BL96" s="236">
        <f t="shared" si="54"/>
        <v>8796.4</v>
      </c>
      <c r="BM96" s="70"/>
      <c r="BN96" s="70"/>
      <c r="BO96" s="70"/>
      <c r="BP96" s="66">
        <f t="shared" si="83"/>
        <v>94.62157394260143</v>
      </c>
      <c r="BQ96" s="102">
        <f t="shared" si="67"/>
        <v>-500</v>
      </c>
      <c r="BR96" s="186">
        <f t="shared" si="81"/>
        <v>94.62157394260143</v>
      </c>
      <c r="BS96" s="186">
        <f t="shared" si="68"/>
        <v>-500</v>
      </c>
      <c r="BT96" s="186"/>
      <c r="BU96" s="186"/>
      <c r="BV96" s="186"/>
      <c r="BW96" s="236"/>
      <c r="BX96" s="236"/>
    </row>
    <row r="97" spans="1:76" s="136" customFormat="1" ht="172.5" hidden="1" customHeight="1" outlineLevel="7" x14ac:dyDescent="0.25">
      <c r="A97" s="8" t="s">
        <v>84</v>
      </c>
      <c r="B97" s="237" t="s">
        <v>261</v>
      </c>
      <c r="C97" s="10" t="s">
        <v>85</v>
      </c>
      <c r="D97" s="68"/>
      <c r="E97" s="98">
        <v>2415.6999999999998</v>
      </c>
      <c r="F97" s="98">
        <v>106.7</v>
      </c>
      <c r="G97" s="66"/>
      <c r="H97" s="67"/>
      <c r="I97" s="66"/>
      <c r="J97" s="67"/>
      <c r="K97" s="66"/>
      <c r="L97" s="67">
        <f t="shared" si="79"/>
        <v>0</v>
      </c>
      <c r="M97" s="174" t="e">
        <f>L97+#REF!</f>
        <v>#REF!</v>
      </c>
      <c r="N97" s="174">
        <v>106.7</v>
      </c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6"/>
      <c r="AE97" s="176"/>
      <c r="AF97" s="176"/>
      <c r="AG97" s="176"/>
      <c r="AH97" s="176">
        <f t="shared" si="77"/>
        <v>0</v>
      </c>
      <c r="AI97" s="176">
        <f t="shared" si="78"/>
        <v>0</v>
      </c>
      <c r="AJ97" s="176">
        <f t="shared" si="78"/>
        <v>0</v>
      </c>
      <c r="AK97" s="176">
        <f t="shared" si="78"/>
        <v>0</v>
      </c>
      <c r="AL97" s="176">
        <f t="shared" si="78"/>
        <v>0</v>
      </c>
      <c r="AM97" s="176">
        <f t="shared" si="78"/>
        <v>0</v>
      </c>
      <c r="AN97" s="176">
        <f t="shared" si="78"/>
        <v>0</v>
      </c>
      <c r="AO97" s="176">
        <f t="shared" si="78"/>
        <v>0</v>
      </c>
      <c r="AP97" s="176">
        <f t="shared" si="78"/>
        <v>0</v>
      </c>
      <c r="AQ97" s="176">
        <f t="shared" si="78"/>
        <v>0</v>
      </c>
      <c r="AR97" s="176">
        <f t="shared" si="78"/>
        <v>0</v>
      </c>
      <c r="AS97" s="176"/>
      <c r="AT97" s="176"/>
      <c r="AU97" s="176"/>
      <c r="AV97" s="176"/>
      <c r="AW97" s="176"/>
      <c r="AX97" s="176"/>
      <c r="AY97" s="176"/>
      <c r="AZ97" s="176">
        <f t="shared" si="76"/>
        <v>0</v>
      </c>
      <c r="BA97" s="176"/>
      <c r="BB97" s="176"/>
      <c r="BC97" s="176"/>
      <c r="BD97" s="176"/>
      <c r="BE97" s="176"/>
      <c r="BF97" s="176"/>
      <c r="BG97" s="176"/>
      <c r="BH97" s="176"/>
      <c r="BI97" s="176"/>
      <c r="BJ97" s="174"/>
      <c r="BK97" s="174"/>
      <c r="BL97" s="236">
        <f t="shared" si="54"/>
        <v>0</v>
      </c>
      <c r="BM97" s="70"/>
      <c r="BN97" s="70"/>
      <c r="BO97" s="70"/>
      <c r="BP97" s="66" t="e">
        <f t="shared" si="83"/>
        <v>#DIV/0!</v>
      </c>
      <c r="BQ97" s="102">
        <f t="shared" si="67"/>
        <v>0</v>
      </c>
      <c r="BR97" s="186" t="e">
        <f t="shared" si="81"/>
        <v>#DIV/0!</v>
      </c>
      <c r="BS97" s="186">
        <f t="shared" si="68"/>
        <v>0</v>
      </c>
      <c r="BT97" s="186"/>
      <c r="BU97" s="186"/>
      <c r="BV97" s="186"/>
      <c r="BW97" s="236"/>
      <c r="BX97" s="236"/>
    </row>
    <row r="98" spans="1:76" s="136" customFormat="1" ht="140.25" customHeight="1" outlineLevel="7" x14ac:dyDescent="0.25">
      <c r="A98" s="8"/>
      <c r="B98" s="237" t="s">
        <v>374</v>
      </c>
      <c r="C98" s="10" t="s">
        <v>87</v>
      </c>
      <c r="D98" s="68"/>
      <c r="E98" s="98"/>
      <c r="F98" s="98">
        <v>1869.6</v>
      </c>
      <c r="G98" s="66"/>
      <c r="H98" s="67"/>
      <c r="I98" s="66"/>
      <c r="J98" s="67"/>
      <c r="K98" s="66"/>
      <c r="L98" s="67">
        <f t="shared" si="79"/>
        <v>0</v>
      </c>
      <c r="M98" s="174" t="e">
        <f>L98+#REF!</f>
        <v>#REF!</v>
      </c>
      <c r="N98" s="174">
        <v>1869.6</v>
      </c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6"/>
      <c r="AE98" s="176">
        <v>3271.1</v>
      </c>
      <c r="AF98" s="176">
        <v>2632.7</v>
      </c>
      <c r="AG98" s="176"/>
      <c r="AH98" s="176">
        <f t="shared" si="77"/>
        <v>2632.7000000000003</v>
      </c>
      <c r="AI98" s="176">
        <f t="shared" si="78"/>
        <v>0</v>
      </c>
      <c r="AJ98" s="176">
        <f t="shared" si="78"/>
        <v>0</v>
      </c>
      <c r="AK98" s="176">
        <f t="shared" si="78"/>
        <v>0</v>
      </c>
      <c r="AL98" s="176">
        <f t="shared" si="78"/>
        <v>0</v>
      </c>
      <c r="AM98" s="176">
        <f t="shared" si="78"/>
        <v>2518.8000000000002</v>
      </c>
      <c r="AN98" s="176">
        <f t="shared" si="78"/>
        <v>113.9</v>
      </c>
      <c r="AO98" s="176">
        <f t="shared" si="78"/>
        <v>0</v>
      </c>
      <c r="AP98" s="176">
        <f t="shared" si="78"/>
        <v>0</v>
      </c>
      <c r="AQ98" s="176">
        <f t="shared" si="78"/>
        <v>0</v>
      </c>
      <c r="AR98" s="176">
        <f t="shared" si="78"/>
        <v>0</v>
      </c>
      <c r="AS98" s="176"/>
      <c r="AT98" s="176"/>
      <c r="AU98" s="176"/>
      <c r="AV98" s="176"/>
      <c r="AW98" s="176"/>
      <c r="AX98" s="176"/>
      <c r="AY98" s="176"/>
      <c r="AZ98" s="176">
        <f t="shared" si="76"/>
        <v>0</v>
      </c>
      <c r="BA98" s="176"/>
      <c r="BB98" s="176"/>
      <c r="BC98" s="176"/>
      <c r="BD98" s="176">
        <v>2518.8000000000002</v>
      </c>
      <c r="BE98" s="176">
        <v>113.9</v>
      </c>
      <c r="BF98" s="176"/>
      <c r="BG98" s="176"/>
      <c r="BH98" s="176"/>
      <c r="BI98" s="176"/>
      <c r="BJ98" s="174"/>
      <c r="BK98" s="174"/>
      <c r="BL98" s="236">
        <f t="shared" si="54"/>
        <v>2632.7000000000003</v>
      </c>
      <c r="BM98" s="70"/>
      <c r="BN98" s="70"/>
      <c r="BO98" s="70"/>
      <c r="BP98" s="66">
        <f t="shared" si="83"/>
        <v>80.483629360154083</v>
      </c>
      <c r="BQ98" s="102">
        <f t="shared" si="67"/>
        <v>-638.39999999999964</v>
      </c>
      <c r="BR98" s="186">
        <f t="shared" si="81"/>
        <v>100.00000000000003</v>
      </c>
      <c r="BS98" s="186">
        <f t="shared" si="68"/>
        <v>0</v>
      </c>
      <c r="BT98" s="186"/>
      <c r="BU98" s="186"/>
      <c r="BV98" s="186"/>
      <c r="BW98" s="236"/>
      <c r="BX98" s="236"/>
    </row>
    <row r="99" spans="1:76" s="136" customFormat="1" ht="72" customHeight="1" outlineLevel="7" x14ac:dyDescent="0.25">
      <c r="A99" s="8"/>
      <c r="B99" s="177" t="s">
        <v>90</v>
      </c>
      <c r="C99" s="10" t="s">
        <v>89</v>
      </c>
      <c r="D99" s="68"/>
      <c r="E99" s="98"/>
      <c r="F99" s="98">
        <v>590.4</v>
      </c>
      <c r="G99" s="66"/>
      <c r="H99" s="67"/>
      <c r="I99" s="66"/>
      <c r="J99" s="67"/>
      <c r="K99" s="66"/>
      <c r="L99" s="67">
        <f t="shared" si="79"/>
        <v>0</v>
      </c>
      <c r="M99" s="174" t="e">
        <f>L99+#REF!</f>
        <v>#REF!</v>
      </c>
      <c r="N99" s="174">
        <v>590.4</v>
      </c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6"/>
      <c r="AE99" s="176">
        <v>5902.5</v>
      </c>
      <c r="AF99" s="176">
        <v>4604.3</v>
      </c>
      <c r="AG99" s="176"/>
      <c r="AH99" s="176">
        <f t="shared" si="77"/>
        <v>4604.3</v>
      </c>
      <c r="AI99" s="176">
        <f t="shared" si="78"/>
        <v>0</v>
      </c>
      <c r="AJ99" s="176">
        <f t="shared" si="78"/>
        <v>0</v>
      </c>
      <c r="AK99" s="176">
        <f t="shared" si="78"/>
        <v>4604.3</v>
      </c>
      <c r="AL99" s="176">
        <f t="shared" si="78"/>
        <v>0</v>
      </c>
      <c r="AM99" s="176">
        <f t="shared" si="78"/>
        <v>0</v>
      </c>
      <c r="AN99" s="176">
        <f t="shared" si="78"/>
        <v>0</v>
      </c>
      <c r="AO99" s="176">
        <f t="shared" si="78"/>
        <v>0</v>
      </c>
      <c r="AP99" s="176">
        <f t="shared" si="78"/>
        <v>0</v>
      </c>
      <c r="AQ99" s="176">
        <f t="shared" si="78"/>
        <v>0</v>
      </c>
      <c r="AR99" s="176">
        <f t="shared" si="78"/>
        <v>0</v>
      </c>
      <c r="AS99" s="176"/>
      <c r="AT99" s="176"/>
      <c r="AU99" s="176"/>
      <c r="AV99" s="176"/>
      <c r="AW99" s="176"/>
      <c r="AX99" s="176"/>
      <c r="AY99" s="176"/>
      <c r="AZ99" s="176">
        <f t="shared" si="76"/>
        <v>0</v>
      </c>
      <c r="BA99" s="176"/>
      <c r="BB99" s="176">
        <v>4604.3</v>
      </c>
      <c r="BC99" s="176"/>
      <c r="BD99" s="176"/>
      <c r="BE99" s="176"/>
      <c r="BF99" s="176"/>
      <c r="BG99" s="176"/>
      <c r="BH99" s="176"/>
      <c r="BI99" s="176"/>
      <c r="BJ99" s="174"/>
      <c r="BK99" s="174"/>
      <c r="BL99" s="236">
        <f t="shared" si="54"/>
        <v>4604.3</v>
      </c>
      <c r="BM99" s="70"/>
      <c r="BN99" s="70"/>
      <c r="BO99" s="70"/>
      <c r="BP99" s="66">
        <f t="shared" si="83"/>
        <v>78.005929690808983</v>
      </c>
      <c r="BQ99" s="102">
        <f t="shared" si="67"/>
        <v>-1298.1999999999998</v>
      </c>
      <c r="BR99" s="186">
        <f t="shared" si="81"/>
        <v>100</v>
      </c>
      <c r="BS99" s="186">
        <f t="shared" si="68"/>
        <v>0</v>
      </c>
      <c r="BT99" s="186"/>
      <c r="BU99" s="186"/>
      <c r="BV99" s="186"/>
      <c r="BW99" s="236"/>
      <c r="BX99" s="236"/>
    </row>
    <row r="100" spans="1:76" s="136" customFormat="1" ht="56.25" customHeight="1" outlineLevel="7" x14ac:dyDescent="0.25">
      <c r="A100" s="8" t="s">
        <v>86</v>
      </c>
      <c r="B100" s="9" t="s">
        <v>92</v>
      </c>
      <c r="C100" s="10" t="s">
        <v>91</v>
      </c>
      <c r="D100" s="68"/>
      <c r="E100" s="66">
        <v>5033.8999999999996</v>
      </c>
      <c r="F100" s="98">
        <v>2858.6</v>
      </c>
      <c r="G100" s="66"/>
      <c r="H100" s="67"/>
      <c r="I100" s="66"/>
      <c r="J100" s="67"/>
      <c r="K100" s="66"/>
      <c r="L100" s="67">
        <f t="shared" si="79"/>
        <v>0</v>
      </c>
      <c r="M100" s="174" t="e">
        <f>L100+#REF!</f>
        <v>#REF!</v>
      </c>
      <c r="N100" s="174">
        <v>2858.6</v>
      </c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6"/>
      <c r="AE100" s="176">
        <v>331.4</v>
      </c>
      <c r="AF100" s="176">
        <v>437.2</v>
      </c>
      <c r="AG100" s="176"/>
      <c r="AH100" s="176">
        <f t="shared" si="77"/>
        <v>437.09999999999997</v>
      </c>
      <c r="AI100" s="176">
        <f t="shared" si="78"/>
        <v>0</v>
      </c>
      <c r="AJ100" s="176">
        <f t="shared" si="78"/>
        <v>0</v>
      </c>
      <c r="AK100" s="176">
        <f t="shared" si="78"/>
        <v>0</v>
      </c>
      <c r="AL100" s="176">
        <f t="shared" si="78"/>
        <v>0</v>
      </c>
      <c r="AM100" s="176">
        <f t="shared" si="78"/>
        <v>12.2</v>
      </c>
      <c r="AN100" s="176">
        <f t="shared" si="78"/>
        <v>0</v>
      </c>
      <c r="AO100" s="176">
        <f t="shared" si="78"/>
        <v>0</v>
      </c>
      <c r="AP100" s="176">
        <f t="shared" si="78"/>
        <v>0</v>
      </c>
      <c r="AQ100" s="176">
        <f t="shared" si="78"/>
        <v>267.2</v>
      </c>
      <c r="AR100" s="176">
        <f t="shared" si="78"/>
        <v>157.80000000000001</v>
      </c>
      <c r="AS100" s="176"/>
      <c r="AT100" s="176"/>
      <c r="AU100" s="176"/>
      <c r="AV100" s="176"/>
      <c r="AW100" s="176"/>
      <c r="AX100" s="176"/>
      <c r="AY100" s="176"/>
      <c r="AZ100" s="176">
        <f t="shared" si="76"/>
        <v>0</v>
      </c>
      <c r="BA100" s="176"/>
      <c r="BB100" s="176"/>
      <c r="BC100" s="176"/>
      <c r="BD100" s="176">
        <v>12.2</v>
      </c>
      <c r="BE100" s="176"/>
      <c r="BF100" s="176"/>
      <c r="BG100" s="176"/>
      <c r="BH100" s="176">
        <v>267.2</v>
      </c>
      <c r="BI100" s="176">
        <v>157.80000000000001</v>
      </c>
      <c r="BJ100" s="174"/>
      <c r="BK100" s="176">
        <v>-0.1</v>
      </c>
      <c r="BL100" s="236">
        <f t="shared" ref="BL100:BL123" si="85">AZ100+BA100+BB100+BC100+BD100+BE100+BF100+BG100+BH100+BI100+BJ100+BK100</f>
        <v>437.09999999999997</v>
      </c>
      <c r="BM100" s="70"/>
      <c r="BN100" s="70"/>
      <c r="BO100" s="70"/>
      <c r="BP100" s="66">
        <f t="shared" si="83"/>
        <v>131.89499094749547</v>
      </c>
      <c r="BQ100" s="102">
        <f t="shared" si="67"/>
        <v>105.69999999999999</v>
      </c>
      <c r="BR100" s="186">
        <f t="shared" si="81"/>
        <v>99.977127172918571</v>
      </c>
      <c r="BS100" s="186">
        <f t="shared" si="68"/>
        <v>-0.10000000000002274</v>
      </c>
      <c r="BT100" s="186"/>
      <c r="BU100" s="186"/>
      <c r="BV100" s="186"/>
      <c r="BW100" s="236"/>
      <c r="BX100" s="236"/>
    </row>
    <row r="101" spans="1:76" s="136" customFormat="1" ht="75" outlineLevel="7" x14ac:dyDescent="0.25">
      <c r="A101" s="8" t="s">
        <v>88</v>
      </c>
      <c r="B101" s="9" t="s">
        <v>94</v>
      </c>
      <c r="C101" s="10" t="s">
        <v>93</v>
      </c>
      <c r="D101" s="68"/>
      <c r="E101" s="66">
        <v>2799.7</v>
      </c>
      <c r="F101" s="98">
        <v>2965.9</v>
      </c>
      <c r="G101" s="66"/>
      <c r="H101" s="67"/>
      <c r="I101" s="66"/>
      <c r="J101" s="67"/>
      <c r="K101" s="66"/>
      <c r="L101" s="67">
        <f t="shared" si="79"/>
        <v>0</v>
      </c>
      <c r="M101" s="174" t="e">
        <f>L101+#REF!</f>
        <v>#REF!</v>
      </c>
      <c r="N101" s="174">
        <v>2965.9</v>
      </c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6"/>
      <c r="AE101" s="176">
        <v>3349.1</v>
      </c>
      <c r="AF101" s="176">
        <v>3356.1</v>
      </c>
      <c r="AG101" s="176"/>
      <c r="AH101" s="176">
        <f t="shared" si="77"/>
        <v>3356.1</v>
      </c>
      <c r="AI101" s="176">
        <f t="shared" si="78"/>
        <v>0</v>
      </c>
      <c r="AJ101" s="176">
        <f t="shared" si="78"/>
        <v>0</v>
      </c>
      <c r="AK101" s="176">
        <f t="shared" si="78"/>
        <v>0</v>
      </c>
      <c r="AL101" s="176">
        <f t="shared" si="78"/>
        <v>3356.1</v>
      </c>
      <c r="AM101" s="176">
        <f t="shared" si="78"/>
        <v>0</v>
      </c>
      <c r="AN101" s="176">
        <f t="shared" si="78"/>
        <v>0</v>
      </c>
      <c r="AO101" s="176">
        <f t="shared" si="78"/>
        <v>0</v>
      </c>
      <c r="AP101" s="176">
        <f t="shared" si="78"/>
        <v>0</v>
      </c>
      <c r="AQ101" s="176">
        <f t="shared" si="78"/>
        <v>0</v>
      </c>
      <c r="AR101" s="176">
        <f t="shared" si="78"/>
        <v>0</v>
      </c>
      <c r="AS101" s="176"/>
      <c r="AT101" s="176"/>
      <c r="AU101" s="176"/>
      <c r="AV101" s="176"/>
      <c r="AW101" s="176"/>
      <c r="AX101" s="176"/>
      <c r="AY101" s="176"/>
      <c r="AZ101" s="176">
        <f t="shared" si="76"/>
        <v>0</v>
      </c>
      <c r="BA101" s="176"/>
      <c r="BB101" s="176"/>
      <c r="BC101" s="176">
        <v>3356.1</v>
      </c>
      <c r="BD101" s="176"/>
      <c r="BE101" s="176"/>
      <c r="BF101" s="176"/>
      <c r="BG101" s="176"/>
      <c r="BH101" s="176"/>
      <c r="BI101" s="176"/>
      <c r="BJ101" s="174"/>
      <c r="BK101" s="174"/>
      <c r="BL101" s="236">
        <f t="shared" si="85"/>
        <v>3356.1</v>
      </c>
      <c r="BM101" s="70"/>
      <c r="BN101" s="70"/>
      <c r="BO101" s="70"/>
      <c r="BP101" s="66">
        <f t="shared" si="83"/>
        <v>100.20901137619063</v>
      </c>
      <c r="BQ101" s="102">
        <f t="shared" si="67"/>
        <v>7</v>
      </c>
      <c r="BR101" s="186">
        <f t="shared" si="81"/>
        <v>100</v>
      </c>
      <c r="BS101" s="186">
        <f t="shared" si="68"/>
        <v>0</v>
      </c>
      <c r="BT101" s="186"/>
      <c r="BU101" s="186"/>
      <c r="BV101" s="186"/>
      <c r="BW101" s="236"/>
      <c r="BX101" s="236"/>
    </row>
    <row r="102" spans="1:76" s="136" customFormat="1" ht="68.25" customHeight="1" outlineLevel="7" x14ac:dyDescent="0.25">
      <c r="A102" s="8" t="s">
        <v>95</v>
      </c>
      <c r="B102" s="9" t="s">
        <v>65</v>
      </c>
      <c r="C102" s="10" t="s">
        <v>64</v>
      </c>
      <c r="D102" s="68"/>
      <c r="E102" s="66">
        <v>3384.4</v>
      </c>
      <c r="F102" s="98">
        <v>1321.6</v>
      </c>
      <c r="G102" s="66"/>
      <c r="H102" s="67"/>
      <c r="I102" s="66"/>
      <c r="J102" s="67"/>
      <c r="K102" s="66"/>
      <c r="L102" s="67">
        <f t="shared" si="79"/>
        <v>0</v>
      </c>
      <c r="M102" s="174" t="e">
        <f>L102+#REF!</f>
        <v>#REF!</v>
      </c>
      <c r="N102" s="174">
        <v>1321.6</v>
      </c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6"/>
      <c r="AE102" s="176">
        <v>3591</v>
      </c>
      <c r="AF102" s="176">
        <v>2681</v>
      </c>
      <c r="AG102" s="176"/>
      <c r="AH102" s="176">
        <f t="shared" si="77"/>
        <v>1651.3</v>
      </c>
      <c r="AI102" s="176">
        <f t="shared" si="78"/>
        <v>0</v>
      </c>
      <c r="AJ102" s="176">
        <f t="shared" si="78"/>
        <v>89.6</v>
      </c>
      <c r="AK102" s="176">
        <f t="shared" si="78"/>
        <v>1454</v>
      </c>
      <c r="AL102" s="176">
        <f t="shared" si="78"/>
        <v>82.8</v>
      </c>
      <c r="AM102" s="176">
        <f t="shared" si="78"/>
        <v>0</v>
      </c>
      <c r="AN102" s="176">
        <f t="shared" si="78"/>
        <v>0</v>
      </c>
      <c r="AO102" s="176">
        <f t="shared" si="78"/>
        <v>0</v>
      </c>
      <c r="AP102" s="176">
        <f t="shared" si="78"/>
        <v>0</v>
      </c>
      <c r="AQ102" s="176">
        <f t="shared" si="78"/>
        <v>0</v>
      </c>
      <c r="AR102" s="176">
        <f t="shared" si="78"/>
        <v>23</v>
      </c>
      <c r="AS102" s="176"/>
      <c r="AT102" s="176"/>
      <c r="AU102" s="176"/>
      <c r="AV102" s="176"/>
      <c r="AW102" s="176"/>
      <c r="AX102" s="176"/>
      <c r="AY102" s="176"/>
      <c r="AZ102" s="176">
        <f t="shared" si="76"/>
        <v>0</v>
      </c>
      <c r="BA102" s="176">
        <v>89.6</v>
      </c>
      <c r="BB102" s="176">
        <v>1454</v>
      </c>
      <c r="BC102" s="176">
        <v>82.8</v>
      </c>
      <c r="BD102" s="176"/>
      <c r="BE102" s="176"/>
      <c r="BF102" s="176"/>
      <c r="BG102" s="176"/>
      <c r="BH102" s="176"/>
      <c r="BI102" s="176">
        <v>23</v>
      </c>
      <c r="BJ102" s="174"/>
      <c r="BK102" s="176">
        <v>1.9</v>
      </c>
      <c r="BL102" s="236">
        <f t="shared" si="85"/>
        <v>1651.3</v>
      </c>
      <c r="BM102" s="70"/>
      <c r="BN102" s="70"/>
      <c r="BO102" s="70"/>
      <c r="BP102" s="66">
        <f t="shared" si="83"/>
        <v>45.984405458089668</v>
      </c>
      <c r="BQ102" s="102">
        <f t="shared" si="67"/>
        <v>-1939.7</v>
      </c>
      <c r="BR102" s="186">
        <f t="shared" si="81"/>
        <v>61.592689295039158</v>
      </c>
      <c r="BS102" s="186">
        <f t="shared" si="68"/>
        <v>-1029.7</v>
      </c>
      <c r="BT102" s="186"/>
      <c r="BU102" s="186"/>
      <c r="BV102" s="186"/>
      <c r="BW102" s="236"/>
      <c r="BX102" s="236"/>
    </row>
    <row r="103" spans="1:76" s="136" customFormat="1" ht="46.5" customHeight="1" outlineLevel="7" x14ac:dyDescent="0.25">
      <c r="A103" s="8" t="s">
        <v>95</v>
      </c>
      <c r="B103" s="9" t="s">
        <v>67</v>
      </c>
      <c r="C103" s="10" t="s">
        <v>66</v>
      </c>
      <c r="D103" s="68"/>
      <c r="E103" s="66">
        <v>1282.4000000000001</v>
      </c>
      <c r="F103" s="98">
        <v>1966.7</v>
      </c>
      <c r="G103" s="66"/>
      <c r="H103" s="67"/>
      <c r="I103" s="66"/>
      <c r="J103" s="67"/>
      <c r="K103" s="66"/>
      <c r="L103" s="67">
        <f t="shared" si="79"/>
        <v>0</v>
      </c>
      <c r="M103" s="174" t="e">
        <f>L103+#REF!</f>
        <v>#REF!</v>
      </c>
      <c r="N103" s="174">
        <v>1966.7</v>
      </c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6"/>
      <c r="AE103" s="176">
        <v>1421.7</v>
      </c>
      <c r="AF103" s="176">
        <v>2821.4</v>
      </c>
      <c r="AG103" s="176"/>
      <c r="AH103" s="176">
        <f t="shared" si="77"/>
        <v>2891.4</v>
      </c>
      <c r="AI103" s="176">
        <f t="shared" si="78"/>
        <v>0</v>
      </c>
      <c r="AJ103" s="176">
        <f t="shared" si="78"/>
        <v>0</v>
      </c>
      <c r="AK103" s="176">
        <f t="shared" si="78"/>
        <v>543.6</v>
      </c>
      <c r="AL103" s="176">
        <f t="shared" si="78"/>
        <v>789.5</v>
      </c>
      <c r="AM103" s="176">
        <f t="shared" si="78"/>
        <v>-12.2</v>
      </c>
      <c r="AN103" s="176">
        <f t="shared" si="78"/>
        <v>1274.0999999999999</v>
      </c>
      <c r="AO103" s="176">
        <f t="shared" si="78"/>
        <v>0</v>
      </c>
      <c r="AP103" s="176">
        <f t="shared" si="78"/>
        <v>0</v>
      </c>
      <c r="AQ103" s="176">
        <f t="shared" si="78"/>
        <v>84.4</v>
      </c>
      <c r="AR103" s="176">
        <f t="shared" si="78"/>
        <v>142</v>
      </c>
      <c r="AS103" s="176"/>
      <c r="AT103" s="176"/>
      <c r="AU103" s="176"/>
      <c r="AV103" s="176"/>
      <c r="AW103" s="176"/>
      <c r="AX103" s="176"/>
      <c r="AY103" s="176"/>
      <c r="AZ103" s="176">
        <f t="shared" si="76"/>
        <v>0</v>
      </c>
      <c r="BA103" s="176"/>
      <c r="BB103" s="176">
        <v>543.6</v>
      </c>
      <c r="BC103" s="176">
        <v>789.5</v>
      </c>
      <c r="BD103" s="176">
        <v>-12.2</v>
      </c>
      <c r="BE103" s="176">
        <v>1274.0999999999999</v>
      </c>
      <c r="BF103" s="176"/>
      <c r="BG103" s="176"/>
      <c r="BH103" s="176">
        <v>84.4</v>
      </c>
      <c r="BI103" s="176">
        <v>142</v>
      </c>
      <c r="BJ103" s="174"/>
      <c r="BK103" s="176">
        <v>70</v>
      </c>
      <c r="BL103" s="236">
        <f t="shared" si="85"/>
        <v>2891.4</v>
      </c>
      <c r="BM103" s="70"/>
      <c r="BN103" s="70"/>
      <c r="BO103" s="70"/>
      <c r="BP103" s="66">
        <f t="shared" si="83"/>
        <v>203.3762397130196</v>
      </c>
      <c r="BQ103" s="102">
        <f t="shared" si="67"/>
        <v>1469.7</v>
      </c>
      <c r="BR103" s="186">
        <f t="shared" si="81"/>
        <v>102.48103778266109</v>
      </c>
      <c r="BS103" s="186">
        <f t="shared" si="68"/>
        <v>70</v>
      </c>
      <c r="BT103" s="186"/>
      <c r="BU103" s="186"/>
      <c r="BV103" s="186"/>
      <c r="BW103" s="236"/>
      <c r="BX103" s="236"/>
    </row>
    <row r="104" spans="1:76" s="136" customFormat="1" ht="60" outlineLevel="7" x14ac:dyDescent="0.25">
      <c r="A104" s="8" t="s">
        <v>95</v>
      </c>
      <c r="B104" s="180" t="s">
        <v>135</v>
      </c>
      <c r="C104" s="10" t="s">
        <v>201</v>
      </c>
      <c r="D104" s="68"/>
      <c r="E104" s="66">
        <v>4545.2</v>
      </c>
      <c r="F104" s="98">
        <v>4024.7</v>
      </c>
      <c r="G104" s="66"/>
      <c r="H104" s="67"/>
      <c r="I104" s="66"/>
      <c r="J104" s="67"/>
      <c r="K104" s="66"/>
      <c r="L104" s="67">
        <f t="shared" si="79"/>
        <v>0</v>
      </c>
      <c r="M104" s="174" t="e">
        <f>L104+#REF!</f>
        <v>#REF!</v>
      </c>
      <c r="N104" s="174">
        <v>4024.7</v>
      </c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6"/>
      <c r="AE104" s="176">
        <v>3996.8</v>
      </c>
      <c r="AF104" s="176">
        <v>4740.7</v>
      </c>
      <c r="AG104" s="176"/>
      <c r="AH104" s="176">
        <f t="shared" si="77"/>
        <v>4740.6999999999989</v>
      </c>
      <c r="AI104" s="176">
        <f t="shared" si="78"/>
        <v>0</v>
      </c>
      <c r="AJ104" s="176">
        <f t="shared" si="78"/>
        <v>0</v>
      </c>
      <c r="AK104" s="176">
        <f t="shared" si="78"/>
        <v>4415.8999999999996</v>
      </c>
      <c r="AL104" s="176">
        <f t="shared" si="78"/>
        <v>-837.3</v>
      </c>
      <c r="AM104" s="176">
        <f t="shared" si="78"/>
        <v>-2518.8000000000002</v>
      </c>
      <c r="AN104" s="176">
        <f t="shared" si="78"/>
        <v>0</v>
      </c>
      <c r="AO104" s="176">
        <f t="shared" si="78"/>
        <v>0</v>
      </c>
      <c r="AP104" s="176">
        <f t="shared" si="78"/>
        <v>2938.6</v>
      </c>
      <c r="AQ104" s="176">
        <f t="shared" si="78"/>
        <v>742.3</v>
      </c>
      <c r="AR104" s="176">
        <f t="shared" si="78"/>
        <v>0</v>
      </c>
      <c r="AS104" s="176"/>
      <c r="AT104" s="176"/>
      <c r="AU104" s="176"/>
      <c r="AV104" s="176"/>
      <c r="AW104" s="176"/>
      <c r="AX104" s="176"/>
      <c r="AY104" s="176"/>
      <c r="AZ104" s="176">
        <f t="shared" si="76"/>
        <v>0</v>
      </c>
      <c r="BA104" s="176"/>
      <c r="BB104" s="176">
        <v>4415.8999999999996</v>
      </c>
      <c r="BC104" s="176">
        <v>-837.3</v>
      </c>
      <c r="BD104" s="176">
        <v>-2518.8000000000002</v>
      </c>
      <c r="BE104" s="176"/>
      <c r="BF104" s="176"/>
      <c r="BG104" s="176">
        <v>2938.6</v>
      </c>
      <c r="BH104" s="176">
        <v>742.3</v>
      </c>
      <c r="BI104" s="176"/>
      <c r="BJ104" s="174"/>
      <c r="BK104" s="174"/>
      <c r="BL104" s="236">
        <f t="shared" si="85"/>
        <v>4740.6999999999989</v>
      </c>
      <c r="BM104" s="70"/>
      <c r="BN104" s="70"/>
      <c r="BO104" s="70"/>
      <c r="BP104" s="66">
        <f t="shared" si="83"/>
        <v>118.61238991192951</v>
      </c>
      <c r="BQ104" s="102">
        <f t="shared" si="67"/>
        <v>743.89999999999873</v>
      </c>
      <c r="BR104" s="186">
        <f t="shared" si="81"/>
        <v>99.999999999999972</v>
      </c>
      <c r="BS104" s="186">
        <f t="shared" si="68"/>
        <v>0</v>
      </c>
      <c r="BT104" s="186"/>
      <c r="BU104" s="186"/>
      <c r="BV104" s="186"/>
      <c r="BW104" s="236"/>
      <c r="BX104" s="236"/>
    </row>
    <row r="105" spans="1:76" s="136" customFormat="1" ht="30" outlineLevel="7" x14ac:dyDescent="0.25">
      <c r="A105" s="178"/>
      <c r="B105" s="9" t="s">
        <v>271</v>
      </c>
      <c r="C105" s="179" t="s">
        <v>360</v>
      </c>
      <c r="D105" s="68"/>
      <c r="E105" s="66">
        <v>6591.4</v>
      </c>
      <c r="F105" s="98">
        <f>530.1+7228.9+3.4</f>
        <v>7762.4</v>
      </c>
      <c r="G105" s="66"/>
      <c r="H105" s="67"/>
      <c r="I105" s="66"/>
      <c r="J105" s="67"/>
      <c r="K105" s="66"/>
      <c r="L105" s="67">
        <f t="shared" si="79"/>
        <v>0</v>
      </c>
      <c r="M105" s="176" t="e">
        <f>L105+#REF!</f>
        <v>#REF!</v>
      </c>
      <c r="N105" s="176">
        <v>7762.4</v>
      </c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>
        <v>6940</v>
      </c>
      <c r="AF105" s="176">
        <v>6940</v>
      </c>
      <c r="AG105" s="176"/>
      <c r="AH105" s="176">
        <f t="shared" si="77"/>
        <v>6940</v>
      </c>
      <c r="AI105" s="176">
        <f t="shared" si="78"/>
        <v>1735</v>
      </c>
      <c r="AJ105" s="176">
        <f t="shared" si="78"/>
        <v>0</v>
      </c>
      <c r="AK105" s="176">
        <f t="shared" si="78"/>
        <v>62</v>
      </c>
      <c r="AL105" s="176">
        <f t="shared" si="78"/>
        <v>1735</v>
      </c>
      <c r="AM105" s="176">
        <f t="shared" si="78"/>
        <v>0</v>
      </c>
      <c r="AN105" s="176">
        <f t="shared" si="78"/>
        <v>0</v>
      </c>
      <c r="AO105" s="176">
        <f t="shared" si="78"/>
        <v>1735</v>
      </c>
      <c r="AP105" s="176">
        <f t="shared" si="78"/>
        <v>0</v>
      </c>
      <c r="AQ105" s="176">
        <f t="shared" si="78"/>
        <v>0</v>
      </c>
      <c r="AR105" s="176">
        <f t="shared" si="78"/>
        <v>1673</v>
      </c>
      <c r="AS105" s="176"/>
      <c r="AT105" s="176"/>
      <c r="AU105" s="176"/>
      <c r="AV105" s="176"/>
      <c r="AW105" s="176"/>
      <c r="AX105" s="176"/>
      <c r="AY105" s="176"/>
      <c r="AZ105" s="176">
        <v>1735</v>
      </c>
      <c r="BA105" s="176"/>
      <c r="BB105" s="176">
        <v>62</v>
      </c>
      <c r="BC105" s="176">
        <v>1735</v>
      </c>
      <c r="BD105" s="176"/>
      <c r="BE105" s="176"/>
      <c r="BF105" s="176">
        <v>1735</v>
      </c>
      <c r="BG105" s="176"/>
      <c r="BH105" s="176"/>
      <c r="BI105" s="176">
        <v>1673</v>
      </c>
      <c r="BJ105" s="176"/>
      <c r="BK105" s="176"/>
      <c r="BL105" s="236">
        <f t="shared" si="85"/>
        <v>6940</v>
      </c>
      <c r="BM105" s="70"/>
      <c r="BN105" s="70"/>
      <c r="BO105" s="70"/>
      <c r="BP105" s="66">
        <f t="shared" si="83"/>
        <v>100</v>
      </c>
      <c r="BQ105" s="102">
        <f t="shared" si="67"/>
        <v>0</v>
      </c>
      <c r="BR105" s="186">
        <f t="shared" si="81"/>
        <v>100</v>
      </c>
      <c r="BS105" s="186">
        <f t="shared" si="68"/>
        <v>0</v>
      </c>
      <c r="BT105" s="186"/>
      <c r="BU105" s="186"/>
      <c r="BV105" s="186"/>
      <c r="BW105" s="236"/>
      <c r="BX105" s="236"/>
    </row>
    <row r="106" spans="1:76" s="136" customFormat="1" ht="21.75" customHeight="1" outlineLevel="7" x14ac:dyDescent="0.25">
      <c r="A106" s="8"/>
      <c r="B106" s="231" t="s">
        <v>143</v>
      </c>
      <c r="C106" s="24"/>
      <c r="D106" s="169">
        <v>15655.3</v>
      </c>
      <c r="E106" s="163">
        <f>SUM(E108:E119)+E107</f>
        <v>360.7</v>
      </c>
      <c r="F106" s="163">
        <f>SUM(F108:F119)+F107</f>
        <v>45904</v>
      </c>
      <c r="G106" s="163">
        <f t="shared" ref="G106:L106" si="86">SUM(G108:G119)+G107</f>
        <v>333.5</v>
      </c>
      <c r="H106" s="163">
        <f t="shared" si="86"/>
        <v>-1980.3000000000002</v>
      </c>
      <c r="I106" s="163">
        <f t="shared" si="86"/>
        <v>0</v>
      </c>
      <c r="J106" s="163">
        <f t="shared" si="86"/>
        <v>412.4</v>
      </c>
      <c r="K106" s="163">
        <f t="shared" si="86"/>
        <v>0</v>
      </c>
      <c r="L106" s="163">
        <f t="shared" si="86"/>
        <v>-1234.4000000000001</v>
      </c>
      <c r="M106" s="106" t="e">
        <f>SUM(M107:M119)</f>
        <v>#REF!</v>
      </c>
      <c r="N106" s="106">
        <f>SUM(N107:N119)</f>
        <v>45778.399999999994</v>
      </c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>
        <v>44647.1</v>
      </c>
      <c r="AE106" s="106">
        <f t="shared" ref="AE106:BJ106" si="87">SUM(AE107:AE119)</f>
        <v>118</v>
      </c>
      <c r="AF106" s="106">
        <f>SUM(AF107:AF119)</f>
        <v>27264.499999999996</v>
      </c>
      <c r="AG106" s="106"/>
      <c r="AH106" s="106">
        <f>BL106</f>
        <v>29698.799999999996</v>
      </c>
      <c r="AI106" s="106">
        <f t="shared" si="87"/>
        <v>0</v>
      </c>
      <c r="AJ106" s="106">
        <f t="shared" si="87"/>
        <v>270.60000000000002</v>
      </c>
      <c r="AK106" s="106">
        <f t="shared" si="87"/>
        <v>516.5</v>
      </c>
      <c r="AL106" s="106">
        <f t="shared" si="87"/>
        <v>262.5</v>
      </c>
      <c r="AM106" s="106">
        <f t="shared" si="87"/>
        <v>1044.7</v>
      </c>
      <c r="AN106" s="106">
        <f t="shared" si="87"/>
        <v>1400</v>
      </c>
      <c r="AO106" s="106">
        <f t="shared" si="87"/>
        <v>131.19999999999999</v>
      </c>
      <c r="AP106" s="106">
        <f t="shared" si="87"/>
        <v>1578.5</v>
      </c>
      <c r="AQ106" s="106">
        <f t="shared" si="87"/>
        <v>262.39999999999998</v>
      </c>
      <c r="AR106" s="106">
        <f t="shared" si="87"/>
        <v>20155.8</v>
      </c>
      <c r="AS106" s="106">
        <f t="shared" si="87"/>
        <v>331</v>
      </c>
      <c r="AT106" s="106">
        <f t="shared" si="87"/>
        <v>0</v>
      </c>
      <c r="AU106" s="106">
        <f t="shared" si="87"/>
        <v>0</v>
      </c>
      <c r="AV106" s="106">
        <f t="shared" si="87"/>
        <v>0</v>
      </c>
      <c r="AW106" s="106">
        <f t="shared" si="87"/>
        <v>0</v>
      </c>
      <c r="AX106" s="106">
        <f t="shared" si="87"/>
        <v>0</v>
      </c>
      <c r="AY106" s="106">
        <f t="shared" si="87"/>
        <v>0</v>
      </c>
      <c r="AZ106" s="106">
        <f t="shared" si="87"/>
        <v>0</v>
      </c>
      <c r="BA106" s="106">
        <f t="shared" si="87"/>
        <v>270.60000000000002</v>
      </c>
      <c r="BB106" s="106">
        <f t="shared" si="87"/>
        <v>516.5</v>
      </c>
      <c r="BC106" s="106">
        <f t="shared" si="87"/>
        <v>262.5</v>
      </c>
      <c r="BD106" s="106">
        <f t="shared" si="87"/>
        <v>1044.7</v>
      </c>
      <c r="BE106" s="106">
        <f t="shared" si="87"/>
        <v>1400</v>
      </c>
      <c r="BF106" s="106">
        <f>SUM(BF107:BF119)</f>
        <v>985.8</v>
      </c>
      <c r="BG106" s="106">
        <f t="shared" si="87"/>
        <v>1578.5</v>
      </c>
      <c r="BH106" s="106">
        <f t="shared" si="87"/>
        <v>277.39999999999998</v>
      </c>
      <c r="BI106" s="106">
        <f t="shared" si="87"/>
        <v>20285.699999999997</v>
      </c>
      <c r="BJ106" s="106">
        <f t="shared" si="87"/>
        <v>331</v>
      </c>
      <c r="BK106" s="106">
        <f t="shared" ref="BK106" si="88">SUM(BK107:BK119)</f>
        <v>2746.1</v>
      </c>
      <c r="BL106" s="236">
        <f t="shared" si="85"/>
        <v>29698.799999999996</v>
      </c>
      <c r="BM106" s="106"/>
      <c r="BN106" s="106"/>
      <c r="BO106" s="106"/>
      <c r="BP106" s="163">
        <f>BL106/AE106*100</f>
        <v>25168.474576271183</v>
      </c>
      <c r="BQ106" s="187">
        <f t="shared" si="67"/>
        <v>29580.799999999996</v>
      </c>
      <c r="BR106" s="187">
        <f t="shared" si="81"/>
        <v>108.92846008545911</v>
      </c>
      <c r="BS106" s="187">
        <f>BL106-AF106</f>
        <v>2434.2999999999993</v>
      </c>
      <c r="BT106" s="266">
        <f t="shared" si="72"/>
        <v>66.518990035187059</v>
      </c>
      <c r="BU106" s="266">
        <f t="shared" si="73"/>
        <v>-14948.300000000003</v>
      </c>
      <c r="BV106" s="266"/>
      <c r="BW106" s="106"/>
      <c r="BX106" s="106"/>
    </row>
    <row r="107" spans="1:76" s="19" customFormat="1" ht="51.75" customHeight="1" outlineLevel="7" x14ac:dyDescent="0.25">
      <c r="A107" s="18"/>
      <c r="B107" s="9" t="s">
        <v>265</v>
      </c>
      <c r="C107" s="20" t="s">
        <v>228</v>
      </c>
      <c r="D107" s="173"/>
      <c r="E107" s="98">
        <v>117.5</v>
      </c>
      <c r="F107" s="98">
        <f t="shared" ref="F107:F108" si="89">E107</f>
        <v>117.5</v>
      </c>
      <c r="G107" s="132"/>
      <c r="H107" s="132"/>
      <c r="I107" s="132"/>
      <c r="J107" s="101"/>
      <c r="K107" s="132"/>
      <c r="L107" s="67">
        <f>K107+J107+I107+H107+G107</f>
        <v>0</v>
      </c>
      <c r="M107" s="174" t="e">
        <f>L107+#REF!</f>
        <v>#REF!</v>
      </c>
      <c r="N107" s="174">
        <v>0</v>
      </c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6"/>
      <c r="AE107" s="176">
        <v>118</v>
      </c>
      <c r="AF107" s="176">
        <v>118</v>
      </c>
      <c r="AG107" s="176"/>
      <c r="AH107" s="176">
        <f>BL107</f>
        <v>0</v>
      </c>
      <c r="AI107" s="176"/>
      <c r="AJ107" s="176">
        <f>BA107</f>
        <v>0</v>
      </c>
      <c r="AK107" s="176">
        <f>BB107</f>
        <v>0</v>
      </c>
      <c r="AL107" s="174"/>
      <c r="AM107" s="176">
        <f>BD107</f>
        <v>0</v>
      </c>
      <c r="AN107" s="174"/>
      <c r="AO107" s="174"/>
      <c r="AP107" s="174">
        <f>BG107</f>
        <v>0</v>
      </c>
      <c r="AQ107" s="176">
        <f>BH107</f>
        <v>0</v>
      </c>
      <c r="AR107" s="174"/>
      <c r="AS107" s="174"/>
      <c r="AT107" s="174"/>
      <c r="AU107" s="174"/>
      <c r="AV107" s="174"/>
      <c r="AW107" s="174"/>
      <c r="AX107" s="174"/>
      <c r="AY107" s="174"/>
      <c r="AZ107" s="174">
        <f t="shared" si="76"/>
        <v>0</v>
      </c>
      <c r="BA107" s="174"/>
      <c r="BB107" s="176"/>
      <c r="BC107" s="174"/>
      <c r="BD107" s="174"/>
      <c r="BE107" s="174"/>
      <c r="BF107" s="174"/>
      <c r="BG107" s="174"/>
      <c r="BH107" s="176"/>
      <c r="BI107" s="174"/>
      <c r="BJ107" s="174"/>
      <c r="BK107" s="174"/>
      <c r="BL107" s="236">
        <f t="shared" si="85"/>
        <v>0</v>
      </c>
      <c r="BM107" s="183"/>
      <c r="BN107" s="183"/>
      <c r="BO107" s="183"/>
      <c r="BP107" s="66"/>
      <c r="BQ107" s="102">
        <f t="shared" si="67"/>
        <v>-118</v>
      </c>
      <c r="BR107" s="186">
        <f t="shared" si="81"/>
        <v>0</v>
      </c>
      <c r="BS107" s="186">
        <f t="shared" si="68"/>
        <v>-118</v>
      </c>
      <c r="BT107" s="186"/>
      <c r="BU107" s="186"/>
      <c r="BV107" s="186"/>
      <c r="BW107" s="236"/>
      <c r="BX107" s="236"/>
    </row>
    <row r="108" spans="1:76" s="19" customFormat="1" ht="33.75" hidden="1" customHeight="1" outlineLevel="7" x14ac:dyDescent="0.25">
      <c r="A108" s="18"/>
      <c r="B108" s="226" t="s">
        <v>266</v>
      </c>
      <c r="C108" s="20" t="s">
        <v>262</v>
      </c>
      <c r="D108" s="173"/>
      <c r="E108" s="98">
        <v>243.2</v>
      </c>
      <c r="F108" s="98">
        <f t="shared" si="89"/>
        <v>243.2</v>
      </c>
      <c r="G108" s="98">
        <v>235.1</v>
      </c>
      <c r="H108" s="132"/>
      <c r="I108" s="132"/>
      <c r="J108" s="101"/>
      <c r="K108" s="132"/>
      <c r="L108" s="67">
        <f>K108+J108+I108+H108+G108</f>
        <v>235.1</v>
      </c>
      <c r="M108" s="174" t="e">
        <f>L108+#REF!</f>
        <v>#REF!</v>
      </c>
      <c r="N108" s="174">
        <v>235.1</v>
      </c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6"/>
      <c r="AE108" s="176"/>
      <c r="AF108" s="176"/>
      <c r="AG108" s="176"/>
      <c r="AH108" s="176">
        <f t="shared" ref="AH108:AH120" si="90">BL108</f>
        <v>0</v>
      </c>
      <c r="AI108" s="176"/>
      <c r="AJ108" s="176">
        <f t="shared" ref="AJ108:AL112" si="91">BA108</f>
        <v>0</v>
      </c>
      <c r="AK108" s="176">
        <f t="shared" si="91"/>
        <v>0</v>
      </c>
      <c r="AL108" s="174"/>
      <c r="AM108" s="176">
        <f t="shared" ref="AM108:AM118" si="92">BD108</f>
        <v>0</v>
      </c>
      <c r="AN108" s="174"/>
      <c r="AO108" s="174"/>
      <c r="AP108" s="174">
        <f t="shared" ref="AP108:AQ119" si="93">BG108</f>
        <v>0</v>
      </c>
      <c r="AQ108" s="176">
        <f t="shared" si="93"/>
        <v>0</v>
      </c>
      <c r="AR108" s="174"/>
      <c r="AS108" s="174"/>
      <c r="AT108" s="174"/>
      <c r="AU108" s="174"/>
      <c r="AV108" s="174"/>
      <c r="AW108" s="174"/>
      <c r="AX108" s="174"/>
      <c r="AY108" s="174"/>
      <c r="AZ108" s="174">
        <f t="shared" si="76"/>
        <v>0</v>
      </c>
      <c r="BA108" s="174"/>
      <c r="BB108" s="176"/>
      <c r="BC108" s="174"/>
      <c r="BD108" s="174"/>
      <c r="BE108" s="174"/>
      <c r="BF108" s="174"/>
      <c r="BG108" s="174"/>
      <c r="BH108" s="176"/>
      <c r="BI108" s="174"/>
      <c r="BJ108" s="174"/>
      <c r="BK108" s="174"/>
      <c r="BL108" s="236">
        <f t="shared" si="85"/>
        <v>0</v>
      </c>
      <c r="BM108" s="183"/>
      <c r="BN108" s="183"/>
      <c r="BO108" s="183"/>
      <c r="BP108" s="66" t="e">
        <f t="shared" si="83"/>
        <v>#DIV/0!</v>
      </c>
      <c r="BQ108" s="102">
        <f t="shared" si="67"/>
        <v>0</v>
      </c>
      <c r="BR108" s="186" t="e">
        <f t="shared" si="81"/>
        <v>#DIV/0!</v>
      </c>
      <c r="BS108" s="186">
        <f t="shared" si="68"/>
        <v>0</v>
      </c>
      <c r="BT108" s="186"/>
      <c r="BU108" s="186"/>
      <c r="BV108" s="186"/>
      <c r="BW108" s="236"/>
      <c r="BX108" s="236"/>
    </row>
    <row r="109" spans="1:76" s="19" customFormat="1" ht="63" customHeight="1" outlineLevel="7" x14ac:dyDescent="0.25">
      <c r="A109" s="18"/>
      <c r="B109" s="9" t="s">
        <v>332</v>
      </c>
      <c r="C109" s="20" t="s">
        <v>275</v>
      </c>
      <c r="D109" s="173"/>
      <c r="E109" s="98"/>
      <c r="F109" s="98">
        <v>1490.5</v>
      </c>
      <c r="G109" s="98">
        <v>98.4</v>
      </c>
      <c r="H109" s="132"/>
      <c r="I109" s="132"/>
      <c r="J109" s="101"/>
      <c r="K109" s="132"/>
      <c r="L109" s="67">
        <f>K109+J109+I109+H109+G109</f>
        <v>98.4</v>
      </c>
      <c r="M109" s="174" t="e">
        <f>L109+#REF!</f>
        <v>#REF!</v>
      </c>
      <c r="N109" s="174">
        <v>1490.5</v>
      </c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6"/>
      <c r="AE109" s="176"/>
      <c r="AF109" s="176">
        <v>1524.9</v>
      </c>
      <c r="AG109" s="176"/>
      <c r="AH109" s="176">
        <f t="shared" si="90"/>
        <v>1524.8999999999999</v>
      </c>
      <c r="AI109" s="176"/>
      <c r="AJ109" s="176">
        <f t="shared" si="91"/>
        <v>0</v>
      </c>
      <c r="AK109" s="176">
        <f t="shared" si="91"/>
        <v>381.2</v>
      </c>
      <c r="AL109" s="176">
        <f>BC109</f>
        <v>127.1</v>
      </c>
      <c r="AM109" s="176">
        <f t="shared" si="92"/>
        <v>381.2</v>
      </c>
      <c r="AN109" s="174"/>
      <c r="AO109" s="176">
        <f>BF109</f>
        <v>63.5</v>
      </c>
      <c r="AP109" s="174">
        <f t="shared" si="93"/>
        <v>63.6</v>
      </c>
      <c r="AQ109" s="176">
        <f t="shared" si="93"/>
        <v>127.1</v>
      </c>
      <c r="AR109" s="176">
        <f>BI109</f>
        <v>127</v>
      </c>
      <c r="AS109" s="176">
        <f>BJ109</f>
        <v>127.1</v>
      </c>
      <c r="AT109" s="176"/>
      <c r="AU109" s="176"/>
      <c r="AV109" s="176"/>
      <c r="AW109" s="176"/>
      <c r="AX109" s="176"/>
      <c r="AY109" s="176"/>
      <c r="AZ109" s="176">
        <f t="shared" si="76"/>
        <v>0</v>
      </c>
      <c r="BA109" s="176"/>
      <c r="BB109" s="176">
        <v>381.2</v>
      </c>
      <c r="BC109" s="176">
        <v>127.1</v>
      </c>
      <c r="BD109" s="176">
        <v>381.2</v>
      </c>
      <c r="BE109" s="176"/>
      <c r="BF109" s="176">
        <v>63.5</v>
      </c>
      <c r="BG109" s="176">
        <v>63.6</v>
      </c>
      <c r="BH109" s="176">
        <v>127.1</v>
      </c>
      <c r="BI109" s="176">
        <v>127</v>
      </c>
      <c r="BJ109" s="176">
        <v>127.1</v>
      </c>
      <c r="BK109" s="176">
        <v>127.1</v>
      </c>
      <c r="BL109" s="236">
        <f t="shared" si="85"/>
        <v>1524.8999999999999</v>
      </c>
      <c r="BM109" s="183"/>
      <c r="BN109" s="183"/>
      <c r="BO109" s="183"/>
      <c r="BP109" s="66"/>
      <c r="BQ109" s="102">
        <f t="shared" si="67"/>
        <v>1524.8999999999999</v>
      </c>
      <c r="BR109" s="186">
        <f t="shared" si="81"/>
        <v>99.999999999999986</v>
      </c>
      <c r="BS109" s="186">
        <f t="shared" si="68"/>
        <v>0</v>
      </c>
      <c r="BT109" s="186"/>
      <c r="BU109" s="186"/>
      <c r="BV109" s="186"/>
      <c r="BW109" s="236"/>
      <c r="BX109" s="236"/>
    </row>
    <row r="110" spans="1:76" s="19" customFormat="1" ht="33.75" customHeight="1" outlineLevel="7" x14ac:dyDescent="0.25">
      <c r="A110" s="18"/>
      <c r="B110" s="227" t="s">
        <v>333</v>
      </c>
      <c r="C110" s="20" t="s">
        <v>326</v>
      </c>
      <c r="D110" s="173"/>
      <c r="E110" s="98"/>
      <c r="F110" s="98">
        <v>969.5</v>
      </c>
      <c r="G110" s="98"/>
      <c r="H110" s="98">
        <v>969.5</v>
      </c>
      <c r="I110" s="132"/>
      <c r="J110" s="101"/>
      <c r="K110" s="132"/>
      <c r="L110" s="67">
        <f t="shared" ref="L110:L115" si="94">K110+J110+I110+H110+G110</f>
        <v>969.5</v>
      </c>
      <c r="M110" s="174">
        <f>L110</f>
        <v>969.5</v>
      </c>
      <c r="N110" s="174">
        <v>969.5</v>
      </c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6"/>
      <c r="AE110" s="176"/>
      <c r="AF110" s="176"/>
      <c r="AG110" s="176"/>
      <c r="AH110" s="176">
        <f t="shared" si="90"/>
        <v>869</v>
      </c>
      <c r="AI110" s="176"/>
      <c r="AJ110" s="176">
        <f t="shared" si="91"/>
        <v>0</v>
      </c>
      <c r="AK110" s="176">
        <f t="shared" si="91"/>
        <v>0</v>
      </c>
      <c r="AL110" s="176">
        <f t="shared" si="91"/>
        <v>0</v>
      </c>
      <c r="AM110" s="176">
        <f t="shared" si="92"/>
        <v>0</v>
      </c>
      <c r="AN110" s="174"/>
      <c r="AO110" s="176">
        <f t="shared" ref="AO110:AO113" si="95">BF110</f>
        <v>0</v>
      </c>
      <c r="AP110" s="174">
        <f t="shared" si="93"/>
        <v>0</v>
      </c>
      <c r="AQ110" s="176"/>
      <c r="AR110" s="174"/>
      <c r="AS110" s="176">
        <f t="shared" ref="AS110:AS112" si="96">BJ110</f>
        <v>0</v>
      </c>
      <c r="AT110" s="174"/>
      <c r="AU110" s="174"/>
      <c r="AV110" s="174"/>
      <c r="AW110" s="174"/>
      <c r="AX110" s="174"/>
      <c r="AY110" s="174"/>
      <c r="AZ110" s="174">
        <f t="shared" si="76"/>
        <v>0</v>
      </c>
      <c r="BA110" s="174"/>
      <c r="BB110" s="176"/>
      <c r="BC110" s="176"/>
      <c r="BD110" s="176"/>
      <c r="BE110" s="174"/>
      <c r="BF110" s="176"/>
      <c r="BG110" s="174"/>
      <c r="BH110" s="176"/>
      <c r="BI110" s="174"/>
      <c r="BJ110" s="176"/>
      <c r="BK110" s="176">
        <v>869</v>
      </c>
      <c r="BL110" s="236">
        <f t="shared" si="85"/>
        <v>869</v>
      </c>
      <c r="BM110" s="183"/>
      <c r="BN110" s="183"/>
      <c r="BO110" s="183"/>
      <c r="BP110" s="66"/>
      <c r="BQ110" s="102">
        <f t="shared" si="67"/>
        <v>869</v>
      </c>
      <c r="BR110" s="186" t="e">
        <f t="shared" si="81"/>
        <v>#DIV/0!</v>
      </c>
      <c r="BS110" s="186">
        <f t="shared" si="68"/>
        <v>869</v>
      </c>
      <c r="BT110" s="186"/>
      <c r="BU110" s="186"/>
      <c r="BV110" s="186"/>
      <c r="BW110" s="236"/>
      <c r="BX110" s="236"/>
    </row>
    <row r="111" spans="1:76" s="19" customFormat="1" ht="79.5" customHeight="1" outlineLevel="7" x14ac:dyDescent="0.25">
      <c r="A111" s="18"/>
      <c r="B111" s="228" t="s">
        <v>376</v>
      </c>
      <c r="C111" s="20" t="s">
        <v>363</v>
      </c>
      <c r="D111" s="173"/>
      <c r="E111" s="98"/>
      <c r="F111" s="98">
        <v>492.6</v>
      </c>
      <c r="G111" s="98"/>
      <c r="H111" s="98">
        <v>492.6</v>
      </c>
      <c r="I111" s="132"/>
      <c r="J111" s="101"/>
      <c r="K111" s="132"/>
      <c r="L111" s="67">
        <f t="shared" si="94"/>
        <v>492.6</v>
      </c>
      <c r="M111" s="174">
        <f>L111</f>
        <v>492.6</v>
      </c>
      <c r="N111" s="174">
        <v>492.6</v>
      </c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6"/>
      <c r="AE111" s="176"/>
      <c r="AF111" s="176">
        <v>1558.9</v>
      </c>
      <c r="AG111" s="176"/>
      <c r="AH111" s="176">
        <f t="shared" si="90"/>
        <v>1385.7000000000003</v>
      </c>
      <c r="AI111" s="176"/>
      <c r="AJ111" s="176">
        <f t="shared" si="91"/>
        <v>259.8</v>
      </c>
      <c r="AK111" s="176">
        <f t="shared" si="91"/>
        <v>129.9</v>
      </c>
      <c r="AL111" s="176">
        <f t="shared" si="91"/>
        <v>129.9</v>
      </c>
      <c r="AM111" s="176">
        <f t="shared" si="92"/>
        <v>389.8</v>
      </c>
      <c r="AN111" s="174"/>
      <c r="AO111" s="176">
        <f t="shared" si="95"/>
        <v>65</v>
      </c>
      <c r="AP111" s="174">
        <f t="shared" si="93"/>
        <v>65</v>
      </c>
      <c r="AQ111" s="176">
        <f>BH111</f>
        <v>129.9</v>
      </c>
      <c r="AR111" s="176"/>
      <c r="AS111" s="176">
        <f t="shared" si="96"/>
        <v>86.5</v>
      </c>
      <c r="AT111" s="176"/>
      <c r="AU111" s="176"/>
      <c r="AV111" s="176"/>
      <c r="AW111" s="176"/>
      <c r="AX111" s="176"/>
      <c r="AY111" s="176"/>
      <c r="AZ111" s="176">
        <f t="shared" si="76"/>
        <v>0</v>
      </c>
      <c r="BA111" s="176">
        <v>259.8</v>
      </c>
      <c r="BB111" s="176">
        <v>129.9</v>
      </c>
      <c r="BC111" s="176">
        <v>129.9</v>
      </c>
      <c r="BD111" s="176">
        <v>389.8</v>
      </c>
      <c r="BE111" s="176"/>
      <c r="BF111" s="176">
        <v>65</v>
      </c>
      <c r="BG111" s="176">
        <v>65</v>
      </c>
      <c r="BH111" s="176">
        <v>129.9</v>
      </c>
      <c r="BI111" s="176">
        <v>129.9</v>
      </c>
      <c r="BJ111" s="176">
        <v>86.5</v>
      </c>
      <c r="BK111" s="174"/>
      <c r="BL111" s="236">
        <f t="shared" si="85"/>
        <v>1385.7000000000003</v>
      </c>
      <c r="BM111" s="183"/>
      <c r="BN111" s="183"/>
      <c r="BO111" s="183"/>
      <c r="BP111" s="66"/>
      <c r="BQ111" s="102">
        <f t="shared" si="67"/>
        <v>1385.7000000000003</v>
      </c>
      <c r="BR111" s="186">
        <f t="shared" si="81"/>
        <v>88.889601642183607</v>
      </c>
      <c r="BS111" s="186">
        <f t="shared" si="68"/>
        <v>-173.19999999999982</v>
      </c>
      <c r="BT111" s="186"/>
      <c r="BU111" s="186"/>
      <c r="BV111" s="186"/>
      <c r="BW111" s="236"/>
      <c r="BX111" s="236"/>
    </row>
    <row r="112" spans="1:76" s="19" customFormat="1" ht="81.75" customHeight="1" outlineLevel="7" x14ac:dyDescent="0.25">
      <c r="A112" s="18"/>
      <c r="B112" s="229" t="s">
        <v>375</v>
      </c>
      <c r="C112" s="20" t="s">
        <v>362</v>
      </c>
      <c r="D112" s="173"/>
      <c r="E112" s="98"/>
      <c r="F112" s="98">
        <v>20.5</v>
      </c>
      <c r="G112" s="98"/>
      <c r="H112" s="98">
        <v>20.5</v>
      </c>
      <c r="I112" s="132"/>
      <c r="J112" s="101"/>
      <c r="K112" s="132"/>
      <c r="L112" s="67">
        <f t="shared" si="94"/>
        <v>20.5</v>
      </c>
      <c r="M112" s="174">
        <f>L112</f>
        <v>20.5</v>
      </c>
      <c r="N112" s="174">
        <v>20.5</v>
      </c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6"/>
      <c r="AE112" s="176"/>
      <c r="AF112" s="176">
        <v>65</v>
      </c>
      <c r="AG112" s="176"/>
      <c r="AH112" s="176">
        <f t="shared" si="90"/>
        <v>57.800000000000011</v>
      </c>
      <c r="AI112" s="176"/>
      <c r="AJ112" s="176">
        <f t="shared" si="91"/>
        <v>10.8</v>
      </c>
      <c r="AK112" s="176">
        <f t="shared" si="91"/>
        <v>5.4</v>
      </c>
      <c r="AL112" s="176">
        <f t="shared" si="91"/>
        <v>5.5</v>
      </c>
      <c r="AM112" s="176">
        <f t="shared" si="92"/>
        <v>16.2</v>
      </c>
      <c r="AN112" s="174"/>
      <c r="AO112" s="176">
        <f t="shared" si="95"/>
        <v>2.7</v>
      </c>
      <c r="AP112" s="174">
        <f t="shared" si="93"/>
        <v>2.7</v>
      </c>
      <c r="AQ112" s="174">
        <f>BH112</f>
        <v>5.4</v>
      </c>
      <c r="AR112" s="176">
        <f>BI112</f>
        <v>5.4</v>
      </c>
      <c r="AS112" s="176">
        <f t="shared" si="96"/>
        <v>3.7</v>
      </c>
      <c r="AT112" s="176"/>
      <c r="AU112" s="176"/>
      <c r="AV112" s="176"/>
      <c r="AW112" s="176"/>
      <c r="AX112" s="176"/>
      <c r="AY112" s="176"/>
      <c r="AZ112" s="176">
        <f t="shared" si="76"/>
        <v>0</v>
      </c>
      <c r="BA112" s="176">
        <v>10.8</v>
      </c>
      <c r="BB112" s="176">
        <v>5.4</v>
      </c>
      <c r="BC112" s="176">
        <v>5.5</v>
      </c>
      <c r="BD112" s="176">
        <v>16.2</v>
      </c>
      <c r="BE112" s="176"/>
      <c r="BF112" s="176">
        <v>2.7</v>
      </c>
      <c r="BG112" s="176">
        <v>2.7</v>
      </c>
      <c r="BH112" s="176">
        <v>5.4</v>
      </c>
      <c r="BI112" s="176">
        <v>5.4</v>
      </c>
      <c r="BJ112" s="176">
        <f>5.4-1.7</f>
        <v>3.7</v>
      </c>
      <c r="BK112" s="174"/>
      <c r="BL112" s="236">
        <f t="shared" si="85"/>
        <v>57.800000000000011</v>
      </c>
      <c r="BM112" s="183"/>
      <c r="BN112" s="183"/>
      <c r="BO112" s="183"/>
      <c r="BP112" s="66"/>
      <c r="BQ112" s="102">
        <f t="shared" si="67"/>
        <v>57.800000000000011</v>
      </c>
      <c r="BR112" s="186">
        <f t="shared" si="81"/>
        <v>88.923076923076934</v>
      </c>
      <c r="BS112" s="186">
        <f t="shared" si="68"/>
        <v>-7.1999999999999886</v>
      </c>
      <c r="BT112" s="186"/>
      <c r="BU112" s="186"/>
      <c r="BV112" s="186"/>
      <c r="BW112" s="236"/>
      <c r="BX112" s="236"/>
    </row>
    <row r="113" spans="1:76" s="19" customFormat="1" ht="47.25" hidden="1" customHeight="1" outlineLevel="7" x14ac:dyDescent="0.25">
      <c r="A113" s="18"/>
      <c r="B113" s="232" t="s">
        <v>334</v>
      </c>
      <c r="C113" s="20" t="s">
        <v>327</v>
      </c>
      <c r="D113" s="173"/>
      <c r="E113" s="98"/>
      <c r="F113" s="98">
        <v>33.1</v>
      </c>
      <c r="G113" s="98"/>
      <c r="H113" s="98">
        <v>33.1</v>
      </c>
      <c r="I113" s="132"/>
      <c r="J113" s="101"/>
      <c r="K113" s="132"/>
      <c r="L113" s="67">
        <f t="shared" si="94"/>
        <v>33.1</v>
      </c>
      <c r="M113" s="174">
        <f>L113</f>
        <v>33.1</v>
      </c>
      <c r="N113" s="174">
        <v>33.1</v>
      </c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6">
        <f t="shared" ref="AD113:AD120" si="97">R113</f>
        <v>0</v>
      </c>
      <c r="AE113" s="176"/>
      <c r="AF113" s="176"/>
      <c r="AG113" s="176"/>
      <c r="AH113" s="176">
        <f t="shared" si="90"/>
        <v>0</v>
      </c>
      <c r="AI113" s="176"/>
      <c r="AJ113" s="174"/>
      <c r="AK113" s="174"/>
      <c r="AL113" s="174"/>
      <c r="AM113" s="176">
        <f t="shared" si="92"/>
        <v>0</v>
      </c>
      <c r="AN113" s="174"/>
      <c r="AO113" s="176">
        <f t="shared" si="95"/>
        <v>0</v>
      </c>
      <c r="AP113" s="174">
        <f t="shared" si="93"/>
        <v>0</v>
      </c>
      <c r="AQ113" s="174"/>
      <c r="AR113" s="176"/>
      <c r="AS113" s="176"/>
      <c r="AT113" s="176"/>
      <c r="AU113" s="176"/>
      <c r="AV113" s="176"/>
      <c r="AW113" s="176"/>
      <c r="AX113" s="176"/>
      <c r="AY113" s="176"/>
      <c r="AZ113" s="176">
        <f t="shared" si="76"/>
        <v>0</v>
      </c>
      <c r="BA113" s="176"/>
      <c r="BB113" s="176"/>
      <c r="BC113" s="176"/>
      <c r="BD113" s="176"/>
      <c r="BE113" s="176"/>
      <c r="BF113" s="176"/>
      <c r="BG113" s="176"/>
      <c r="BH113" s="176"/>
      <c r="BI113" s="176"/>
      <c r="BJ113" s="174"/>
      <c r="BK113" s="174"/>
      <c r="BL113" s="236">
        <f t="shared" si="85"/>
        <v>0</v>
      </c>
      <c r="BM113" s="183"/>
      <c r="BN113" s="183"/>
      <c r="BO113" s="183"/>
      <c r="BP113" s="66"/>
      <c r="BQ113" s="102">
        <f t="shared" si="67"/>
        <v>0</v>
      </c>
      <c r="BR113" s="186" t="e">
        <f t="shared" si="81"/>
        <v>#DIV/0!</v>
      </c>
      <c r="BS113" s="186">
        <f t="shared" si="68"/>
        <v>0</v>
      </c>
      <c r="BT113" s="186"/>
      <c r="BU113" s="186"/>
      <c r="BV113" s="186"/>
      <c r="BW113" s="236"/>
      <c r="BX113" s="236"/>
    </row>
    <row r="114" spans="1:76" s="19" customFormat="1" ht="44.25" customHeight="1" outlineLevel="7" x14ac:dyDescent="0.25">
      <c r="A114" s="18"/>
      <c r="B114" s="232" t="s">
        <v>385</v>
      </c>
      <c r="C114" s="20" t="s">
        <v>384</v>
      </c>
      <c r="D114" s="173"/>
      <c r="E114" s="98"/>
      <c r="F114" s="98">
        <v>10.4</v>
      </c>
      <c r="G114" s="98"/>
      <c r="H114" s="98">
        <v>10.4</v>
      </c>
      <c r="I114" s="132"/>
      <c r="J114" s="101"/>
      <c r="K114" s="132"/>
      <c r="L114" s="67">
        <f t="shared" si="94"/>
        <v>10.4</v>
      </c>
      <c r="M114" s="174">
        <f>L114</f>
        <v>10.4</v>
      </c>
      <c r="N114" s="174">
        <v>10.4</v>
      </c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6">
        <f t="shared" si="97"/>
        <v>0</v>
      </c>
      <c r="AE114" s="176"/>
      <c r="AF114" s="176">
        <v>1400</v>
      </c>
      <c r="AG114" s="176"/>
      <c r="AH114" s="176">
        <f t="shared" si="90"/>
        <v>3150</v>
      </c>
      <c r="AI114" s="176"/>
      <c r="AJ114" s="174"/>
      <c r="AK114" s="174"/>
      <c r="AL114" s="174"/>
      <c r="AM114" s="176">
        <f t="shared" si="92"/>
        <v>0</v>
      </c>
      <c r="AN114" s="174">
        <f>BE114</f>
        <v>1400</v>
      </c>
      <c r="AO114" s="174"/>
      <c r="AP114" s="174">
        <f t="shared" si="93"/>
        <v>0</v>
      </c>
      <c r="AQ114" s="174"/>
      <c r="AR114" s="176"/>
      <c r="AS114" s="176"/>
      <c r="AT114" s="176"/>
      <c r="AU114" s="176"/>
      <c r="AV114" s="176"/>
      <c r="AW114" s="176"/>
      <c r="AX114" s="176"/>
      <c r="AY114" s="176"/>
      <c r="AZ114" s="176">
        <f t="shared" si="76"/>
        <v>0</v>
      </c>
      <c r="BA114" s="176"/>
      <c r="BB114" s="176"/>
      <c r="BC114" s="176"/>
      <c r="BD114" s="176"/>
      <c r="BE114" s="176">
        <v>1400</v>
      </c>
      <c r="BF114" s="176"/>
      <c r="BG114" s="176"/>
      <c r="BH114" s="176"/>
      <c r="BI114" s="176"/>
      <c r="BJ114" s="174"/>
      <c r="BK114" s="176">
        <v>1750</v>
      </c>
      <c r="BL114" s="236">
        <f t="shared" si="85"/>
        <v>3150</v>
      </c>
      <c r="BM114" s="183"/>
      <c r="BN114" s="183"/>
      <c r="BO114" s="183"/>
      <c r="BP114" s="66"/>
      <c r="BQ114" s="102">
        <f t="shared" si="67"/>
        <v>3150</v>
      </c>
      <c r="BR114" s="186">
        <f t="shared" si="81"/>
        <v>225</v>
      </c>
      <c r="BS114" s="186">
        <f t="shared" si="68"/>
        <v>1750</v>
      </c>
      <c r="BT114" s="186"/>
      <c r="BU114" s="186"/>
      <c r="BV114" s="186"/>
      <c r="BW114" s="236"/>
      <c r="BX114" s="236"/>
    </row>
    <row r="115" spans="1:76" s="19" customFormat="1" ht="81" customHeight="1" outlineLevel="7" x14ac:dyDescent="0.25">
      <c r="A115" s="18"/>
      <c r="B115" s="290" t="s">
        <v>415</v>
      </c>
      <c r="C115" s="20" t="s">
        <v>414</v>
      </c>
      <c r="D115" s="173"/>
      <c r="E115" s="98"/>
      <c r="F115" s="98">
        <v>693.5</v>
      </c>
      <c r="G115" s="98"/>
      <c r="H115" s="132"/>
      <c r="I115" s="132"/>
      <c r="J115" s="101"/>
      <c r="K115" s="132"/>
      <c r="L115" s="67">
        <f t="shared" si="94"/>
        <v>0</v>
      </c>
      <c r="M115" s="174" t="e">
        <f>L115+#REF!</f>
        <v>#REF!</v>
      </c>
      <c r="N115" s="174">
        <v>693.5</v>
      </c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6">
        <f t="shared" si="97"/>
        <v>0</v>
      </c>
      <c r="AE115" s="176"/>
      <c r="AF115" s="176">
        <v>984.9</v>
      </c>
      <c r="AG115" s="176"/>
      <c r="AH115" s="176">
        <f t="shared" si="90"/>
        <v>984.9</v>
      </c>
      <c r="AI115" s="176"/>
      <c r="AJ115" s="174"/>
      <c r="AK115" s="174"/>
      <c r="AL115" s="174"/>
      <c r="AM115" s="176">
        <f t="shared" si="92"/>
        <v>0</v>
      </c>
      <c r="AN115" s="174"/>
      <c r="AO115" s="174"/>
      <c r="AP115" s="174">
        <f t="shared" si="93"/>
        <v>984.9</v>
      </c>
      <c r="AQ115" s="174"/>
      <c r="AR115" s="176"/>
      <c r="AS115" s="176"/>
      <c r="AT115" s="176"/>
      <c r="AU115" s="176"/>
      <c r="AV115" s="176"/>
      <c r="AW115" s="176"/>
      <c r="AX115" s="176"/>
      <c r="AY115" s="176"/>
      <c r="AZ115" s="176">
        <f t="shared" si="76"/>
        <v>0</v>
      </c>
      <c r="BA115" s="176"/>
      <c r="BB115" s="176"/>
      <c r="BC115" s="176"/>
      <c r="BD115" s="176"/>
      <c r="BE115" s="176"/>
      <c r="BF115" s="176"/>
      <c r="BG115" s="176">
        <v>984.9</v>
      </c>
      <c r="BH115" s="176"/>
      <c r="BI115" s="176"/>
      <c r="BJ115" s="174"/>
      <c r="BK115" s="174"/>
      <c r="BL115" s="236">
        <f t="shared" si="85"/>
        <v>984.9</v>
      </c>
      <c r="BM115" s="183"/>
      <c r="BN115" s="183"/>
      <c r="BO115" s="183"/>
      <c r="BP115" s="66"/>
      <c r="BQ115" s="102">
        <f t="shared" si="67"/>
        <v>984.9</v>
      </c>
      <c r="BR115" s="186">
        <f t="shared" si="81"/>
        <v>100</v>
      </c>
      <c r="BS115" s="186">
        <f t="shared" si="68"/>
        <v>0</v>
      </c>
      <c r="BT115" s="186"/>
      <c r="BU115" s="186"/>
      <c r="BV115" s="186"/>
      <c r="BW115" s="236"/>
      <c r="BX115" s="236"/>
    </row>
    <row r="116" spans="1:76" s="19" customFormat="1" ht="60.75" hidden="1" customHeight="1" outlineLevel="7" x14ac:dyDescent="0.25">
      <c r="A116" s="18"/>
      <c r="B116" s="9" t="s">
        <v>339</v>
      </c>
      <c r="C116" s="20" t="s">
        <v>302</v>
      </c>
      <c r="D116" s="173"/>
      <c r="E116" s="98"/>
      <c r="F116" s="98">
        <v>28.9</v>
      </c>
      <c r="G116" s="98"/>
      <c r="H116" s="132"/>
      <c r="I116" s="132"/>
      <c r="J116" s="101"/>
      <c r="K116" s="132"/>
      <c r="L116" s="67">
        <f>G116</f>
        <v>0</v>
      </c>
      <c r="M116" s="174" t="e">
        <f>L116+#REF!</f>
        <v>#REF!</v>
      </c>
      <c r="N116" s="174">
        <v>28.9</v>
      </c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6">
        <f t="shared" si="97"/>
        <v>0</v>
      </c>
      <c r="AE116" s="176"/>
      <c r="AF116" s="176"/>
      <c r="AG116" s="176"/>
      <c r="AH116" s="176">
        <f t="shared" si="90"/>
        <v>0</v>
      </c>
      <c r="AI116" s="176"/>
      <c r="AJ116" s="174"/>
      <c r="AK116" s="174"/>
      <c r="AL116" s="174"/>
      <c r="AM116" s="176">
        <f t="shared" si="92"/>
        <v>0</v>
      </c>
      <c r="AN116" s="174"/>
      <c r="AO116" s="174"/>
      <c r="AP116" s="174">
        <f t="shared" si="93"/>
        <v>0</v>
      </c>
      <c r="AQ116" s="174"/>
      <c r="AR116" s="176"/>
      <c r="AS116" s="176"/>
      <c r="AT116" s="176"/>
      <c r="AU116" s="176"/>
      <c r="AV116" s="176"/>
      <c r="AW116" s="176"/>
      <c r="AX116" s="176"/>
      <c r="AY116" s="176"/>
      <c r="AZ116" s="176">
        <f t="shared" si="76"/>
        <v>0</v>
      </c>
      <c r="BA116" s="176"/>
      <c r="BB116" s="176"/>
      <c r="BC116" s="176"/>
      <c r="BD116" s="176"/>
      <c r="BE116" s="176"/>
      <c r="BF116" s="176"/>
      <c r="BG116" s="176"/>
      <c r="BH116" s="176"/>
      <c r="BI116" s="176"/>
      <c r="BJ116" s="174"/>
      <c r="BK116" s="174"/>
      <c r="BL116" s="236">
        <f t="shared" si="85"/>
        <v>0</v>
      </c>
      <c r="BM116" s="183"/>
      <c r="BN116" s="183"/>
      <c r="BO116" s="183"/>
      <c r="BP116" s="66"/>
      <c r="BQ116" s="102">
        <f t="shared" si="67"/>
        <v>0</v>
      </c>
      <c r="BR116" s="186" t="e">
        <f t="shared" si="81"/>
        <v>#DIV/0!</v>
      </c>
      <c r="BS116" s="186">
        <f t="shared" si="68"/>
        <v>0</v>
      </c>
      <c r="BT116" s="186"/>
      <c r="BU116" s="186"/>
      <c r="BV116" s="186"/>
      <c r="BW116" s="236"/>
      <c r="BX116" s="236"/>
    </row>
    <row r="117" spans="1:76" s="19" customFormat="1" ht="67.5" customHeight="1" outlineLevel="7" x14ac:dyDescent="0.25">
      <c r="A117" s="18"/>
      <c r="B117" s="9" t="s">
        <v>335</v>
      </c>
      <c r="C117" s="20" t="s">
        <v>274</v>
      </c>
      <c r="D117" s="173"/>
      <c r="E117" s="98"/>
      <c r="F117" s="98">
        <v>8924.1</v>
      </c>
      <c r="G117" s="98"/>
      <c r="H117" s="132"/>
      <c r="I117" s="132"/>
      <c r="J117" s="101">
        <v>412.4</v>
      </c>
      <c r="K117" s="132"/>
      <c r="L117" s="67">
        <f t="shared" ref="L117" si="98">K117+J117+I117+H117+G117</f>
        <v>412.4</v>
      </c>
      <c r="M117" s="174" t="e">
        <f>L117+#REF!</f>
        <v>#REF!</v>
      </c>
      <c r="N117" s="174">
        <v>8924.1</v>
      </c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6">
        <f t="shared" si="97"/>
        <v>0</v>
      </c>
      <c r="AE117" s="176"/>
      <c r="AF117" s="176">
        <v>1709.1</v>
      </c>
      <c r="AG117" s="176"/>
      <c r="AH117" s="176">
        <f t="shared" si="90"/>
        <v>1709.1</v>
      </c>
      <c r="AI117" s="176"/>
      <c r="AJ117" s="174"/>
      <c r="AK117" s="174"/>
      <c r="AL117" s="174"/>
      <c r="AM117" s="176">
        <f t="shared" si="92"/>
        <v>0</v>
      </c>
      <c r="AN117" s="174"/>
      <c r="AO117" s="174">
        <v>0</v>
      </c>
      <c r="AP117" s="174">
        <f t="shared" si="93"/>
        <v>0</v>
      </c>
      <c r="AQ117" s="174"/>
      <c r="AR117" s="176">
        <f>BI117</f>
        <v>854.5</v>
      </c>
      <c r="AS117" s="176"/>
      <c r="AT117" s="176"/>
      <c r="AU117" s="176"/>
      <c r="AV117" s="176"/>
      <c r="AW117" s="176"/>
      <c r="AX117" s="176"/>
      <c r="AY117" s="176"/>
      <c r="AZ117" s="176">
        <f t="shared" si="76"/>
        <v>0</v>
      </c>
      <c r="BA117" s="176"/>
      <c r="BB117" s="176"/>
      <c r="BC117" s="176"/>
      <c r="BD117" s="176"/>
      <c r="BE117" s="176"/>
      <c r="BF117" s="176">
        <v>854.6</v>
      </c>
      <c r="BG117" s="176"/>
      <c r="BH117" s="176"/>
      <c r="BI117" s="176">
        <v>854.5</v>
      </c>
      <c r="BJ117" s="174"/>
      <c r="BK117" s="174"/>
      <c r="BL117" s="236">
        <f t="shared" si="85"/>
        <v>1709.1</v>
      </c>
      <c r="BM117" s="183"/>
      <c r="BN117" s="183"/>
      <c r="BO117" s="183"/>
      <c r="BP117" s="66"/>
      <c r="BQ117" s="102">
        <f t="shared" si="67"/>
        <v>1709.1</v>
      </c>
      <c r="BR117" s="186">
        <f t="shared" si="81"/>
        <v>100</v>
      </c>
      <c r="BS117" s="186">
        <f t="shared" si="68"/>
        <v>0</v>
      </c>
      <c r="BT117" s="186"/>
      <c r="BU117" s="186"/>
      <c r="BV117" s="186"/>
      <c r="BW117" s="236"/>
      <c r="BX117" s="236"/>
    </row>
    <row r="118" spans="1:76" s="19" customFormat="1" ht="29.25" customHeight="1" outlineLevel="7" x14ac:dyDescent="0.25">
      <c r="A118" s="18"/>
      <c r="B118" s="133" t="s">
        <v>229</v>
      </c>
      <c r="C118" s="20" t="s">
        <v>230</v>
      </c>
      <c r="D118" s="173"/>
      <c r="E118" s="132"/>
      <c r="F118" s="98">
        <v>31742</v>
      </c>
      <c r="G118" s="98"/>
      <c r="H118" s="98">
        <v>-3782.4</v>
      </c>
      <c r="I118" s="132"/>
      <c r="J118" s="101"/>
      <c r="K118" s="132"/>
      <c r="L118" s="67">
        <f>K118+J118+I118+H118+G118</f>
        <v>-3782.4</v>
      </c>
      <c r="M118" s="174" t="e">
        <f>L118+#REF!</f>
        <v>#REF!</v>
      </c>
      <c r="N118" s="174">
        <v>31742</v>
      </c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6">
        <f t="shared" si="97"/>
        <v>0</v>
      </c>
      <c r="AE118" s="176"/>
      <c r="AF118" s="176">
        <v>18822.599999999999</v>
      </c>
      <c r="AG118" s="176"/>
      <c r="AH118" s="176">
        <f t="shared" si="90"/>
        <v>18822.599999999999</v>
      </c>
      <c r="AI118" s="176"/>
      <c r="AJ118" s="174"/>
      <c r="AK118" s="174"/>
      <c r="AL118" s="174"/>
      <c r="AM118" s="176">
        <f t="shared" si="92"/>
        <v>0</v>
      </c>
      <c r="AN118" s="174"/>
      <c r="AO118" s="174"/>
      <c r="AP118" s="174">
        <f t="shared" si="93"/>
        <v>0</v>
      </c>
      <c r="AQ118" s="174"/>
      <c r="AR118" s="176">
        <f>BI118</f>
        <v>18822.599999999999</v>
      </c>
      <c r="AS118" s="176"/>
      <c r="AT118" s="176"/>
      <c r="AU118" s="176"/>
      <c r="AV118" s="176"/>
      <c r="AW118" s="176"/>
      <c r="AX118" s="176"/>
      <c r="AY118" s="176"/>
      <c r="AZ118" s="176">
        <f t="shared" si="76"/>
        <v>0</v>
      </c>
      <c r="BA118" s="176"/>
      <c r="BB118" s="176"/>
      <c r="BC118" s="176"/>
      <c r="BD118" s="176"/>
      <c r="BE118" s="176"/>
      <c r="BF118" s="176"/>
      <c r="BG118" s="176"/>
      <c r="BH118" s="176"/>
      <c r="BI118" s="176">
        <v>18822.599999999999</v>
      </c>
      <c r="BJ118" s="174"/>
      <c r="BK118" s="174"/>
      <c r="BL118" s="236">
        <f t="shared" si="85"/>
        <v>18822.599999999999</v>
      </c>
      <c r="BM118" s="183"/>
      <c r="BN118" s="183"/>
      <c r="BO118" s="183"/>
      <c r="BP118" s="66" t="e">
        <f t="shared" si="83"/>
        <v>#DIV/0!</v>
      </c>
      <c r="BQ118" s="102">
        <f t="shared" si="67"/>
        <v>18822.599999999999</v>
      </c>
      <c r="BR118" s="186">
        <f t="shared" si="81"/>
        <v>100</v>
      </c>
      <c r="BS118" s="186">
        <f t="shared" si="68"/>
        <v>0</v>
      </c>
      <c r="BT118" s="186"/>
      <c r="BU118" s="186"/>
      <c r="BV118" s="186"/>
      <c r="BW118" s="236"/>
      <c r="BX118" s="236"/>
    </row>
    <row r="119" spans="1:76" s="19" customFormat="1" ht="22.5" customHeight="1" outlineLevel="7" x14ac:dyDescent="0.25">
      <c r="A119" s="18"/>
      <c r="B119" s="133" t="s">
        <v>205</v>
      </c>
      <c r="C119" s="20" t="s">
        <v>216</v>
      </c>
      <c r="D119" s="173"/>
      <c r="E119" s="132"/>
      <c r="F119" s="98">
        <f>795.4+66.8+276</f>
        <v>1138.1999999999998</v>
      </c>
      <c r="G119" s="98"/>
      <c r="H119" s="98">
        <v>276</v>
      </c>
      <c r="I119" s="132"/>
      <c r="J119" s="132"/>
      <c r="K119" s="132"/>
      <c r="L119" s="67">
        <f t="shared" ref="L119:L121" si="99">K119+J119+I119+H119+G119</f>
        <v>276</v>
      </c>
      <c r="M119" s="174" t="e">
        <f>L119+#REF!</f>
        <v>#REF!</v>
      </c>
      <c r="N119" s="174">
        <v>1138.2</v>
      </c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6">
        <f t="shared" si="97"/>
        <v>0</v>
      </c>
      <c r="AE119" s="176"/>
      <c r="AF119" s="176">
        <v>1081.0999999999999</v>
      </c>
      <c r="AG119" s="176"/>
      <c r="AH119" s="176">
        <f t="shared" si="90"/>
        <v>1194.8</v>
      </c>
      <c r="AI119" s="176"/>
      <c r="AJ119" s="174"/>
      <c r="AK119" s="174"/>
      <c r="AL119" s="174"/>
      <c r="AM119" s="176">
        <f>BD119</f>
        <v>257.5</v>
      </c>
      <c r="AN119" s="174"/>
      <c r="AO119" s="174"/>
      <c r="AP119" s="174">
        <f t="shared" si="93"/>
        <v>462.3</v>
      </c>
      <c r="AQ119" s="174"/>
      <c r="AR119" s="176">
        <f>BI119</f>
        <v>346.3</v>
      </c>
      <c r="AS119" s="176">
        <f>BJ119</f>
        <v>113.7</v>
      </c>
      <c r="AT119" s="176"/>
      <c r="AU119" s="176"/>
      <c r="AV119" s="176"/>
      <c r="AW119" s="176"/>
      <c r="AX119" s="176"/>
      <c r="AY119" s="176"/>
      <c r="AZ119" s="176">
        <f t="shared" si="76"/>
        <v>0</v>
      </c>
      <c r="BA119" s="176"/>
      <c r="BB119" s="176"/>
      <c r="BC119" s="176"/>
      <c r="BD119" s="176">
        <v>257.5</v>
      </c>
      <c r="BE119" s="176"/>
      <c r="BF119" s="176"/>
      <c r="BG119" s="176">
        <v>462.3</v>
      </c>
      <c r="BH119" s="176">
        <v>15</v>
      </c>
      <c r="BI119" s="176">
        <v>346.3</v>
      </c>
      <c r="BJ119" s="176">
        <v>113.7</v>
      </c>
      <c r="BK119" s="174"/>
      <c r="BL119" s="236">
        <f t="shared" si="85"/>
        <v>1194.8</v>
      </c>
      <c r="BM119" s="183"/>
      <c r="BN119" s="183"/>
      <c r="BO119" s="183"/>
      <c r="BP119" s="66"/>
      <c r="BQ119" s="102">
        <f t="shared" si="67"/>
        <v>1194.8</v>
      </c>
      <c r="BR119" s="186">
        <f t="shared" si="81"/>
        <v>110.51706595134586</v>
      </c>
      <c r="BS119" s="186">
        <f t="shared" si="68"/>
        <v>113.70000000000005</v>
      </c>
      <c r="BT119" s="186"/>
      <c r="BU119" s="186"/>
      <c r="BV119" s="186"/>
      <c r="BW119" s="236"/>
      <c r="BX119" s="236"/>
    </row>
    <row r="120" spans="1:76" s="19" customFormat="1" ht="45.75" hidden="1" customHeight="1" outlineLevel="7" x14ac:dyDescent="0.25">
      <c r="A120" s="18"/>
      <c r="B120" s="233" t="s">
        <v>344</v>
      </c>
      <c r="C120" s="24"/>
      <c r="D120" s="169"/>
      <c r="E120" s="163"/>
      <c r="F120" s="163">
        <v>991.4</v>
      </c>
      <c r="G120" s="163"/>
      <c r="H120" s="168"/>
      <c r="I120" s="163"/>
      <c r="J120" s="168">
        <v>991.4</v>
      </c>
      <c r="K120" s="163"/>
      <c r="L120" s="168">
        <f>J120</f>
        <v>991.4</v>
      </c>
      <c r="M120" s="174">
        <f>L120</f>
        <v>991.4</v>
      </c>
      <c r="N120" s="174">
        <v>991.4</v>
      </c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06">
        <f t="shared" si="97"/>
        <v>0</v>
      </c>
      <c r="AE120" s="106"/>
      <c r="AF120" s="106"/>
      <c r="AG120" s="106"/>
      <c r="AH120" s="176">
        <f t="shared" si="90"/>
        <v>0</v>
      </c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>
        <f t="shared" si="76"/>
        <v>0</v>
      </c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236">
        <f t="shared" si="85"/>
        <v>0</v>
      </c>
      <c r="BM120" s="106"/>
      <c r="BN120" s="106"/>
      <c r="BO120" s="106"/>
      <c r="BP120" s="66"/>
      <c r="BQ120" s="102">
        <f t="shared" si="67"/>
        <v>0</v>
      </c>
      <c r="BR120" s="186" t="e">
        <f t="shared" si="81"/>
        <v>#DIV/0!</v>
      </c>
      <c r="BS120" s="186">
        <f t="shared" si="68"/>
        <v>0</v>
      </c>
      <c r="BT120" s="186" t="e">
        <f t="shared" si="72"/>
        <v>#DIV/0!</v>
      </c>
      <c r="BU120" s="186">
        <f t="shared" si="73"/>
        <v>0</v>
      </c>
      <c r="BV120" s="186"/>
      <c r="BW120" s="236"/>
      <c r="BX120" s="236"/>
    </row>
    <row r="121" spans="1:76" s="19" customFormat="1" ht="45.75" customHeight="1" outlineLevel="7" x14ac:dyDescent="0.25">
      <c r="A121" s="18"/>
      <c r="B121" s="245" t="s">
        <v>196</v>
      </c>
      <c r="C121" s="24"/>
      <c r="D121" s="169">
        <v>1184.4000000000001</v>
      </c>
      <c r="E121" s="163"/>
      <c r="F121" s="163">
        <f>2000+93.5</f>
        <v>2093.5</v>
      </c>
      <c r="G121" s="163"/>
      <c r="H121" s="168"/>
      <c r="I121" s="163"/>
      <c r="J121" s="168"/>
      <c r="K121" s="163"/>
      <c r="L121" s="168">
        <f t="shared" si="99"/>
        <v>0</v>
      </c>
      <c r="M121" s="174" t="e">
        <f>L121+#REF!</f>
        <v>#REF!</v>
      </c>
      <c r="N121" s="174">
        <v>2093.5</v>
      </c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06">
        <v>2093.5</v>
      </c>
      <c r="AE121" s="106"/>
      <c r="AF121" s="106">
        <v>116.9</v>
      </c>
      <c r="AG121" s="106"/>
      <c r="AH121" s="106">
        <f>BL121</f>
        <v>116.9</v>
      </c>
      <c r="AI121" s="106"/>
      <c r="AJ121" s="106"/>
      <c r="AK121" s="243">
        <f>BB121</f>
        <v>116.9</v>
      </c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>
        <f t="shared" si="76"/>
        <v>0</v>
      </c>
      <c r="BA121" s="106"/>
      <c r="BB121" s="106">
        <v>116.9</v>
      </c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236">
        <f t="shared" si="85"/>
        <v>116.9</v>
      </c>
      <c r="BM121" s="106"/>
      <c r="BN121" s="106"/>
      <c r="BO121" s="106"/>
      <c r="BP121" s="163"/>
      <c r="BQ121" s="267">
        <f t="shared" si="67"/>
        <v>116.9</v>
      </c>
      <c r="BR121" s="187">
        <f t="shared" si="81"/>
        <v>100</v>
      </c>
      <c r="BS121" s="267">
        <f t="shared" si="68"/>
        <v>0</v>
      </c>
      <c r="BT121" s="266">
        <f t="shared" si="72"/>
        <v>5.5839503224265581</v>
      </c>
      <c r="BU121" s="266">
        <f t="shared" si="73"/>
        <v>-1976.6</v>
      </c>
      <c r="BV121" s="266"/>
      <c r="BW121" s="236"/>
      <c r="BX121" s="236"/>
    </row>
    <row r="122" spans="1:76" s="136" customFormat="1" ht="61.5" customHeight="1" outlineLevel="7" x14ac:dyDescent="0.25">
      <c r="A122" s="8"/>
      <c r="B122" s="246" t="s">
        <v>197</v>
      </c>
      <c r="C122" s="24"/>
      <c r="D122" s="169">
        <v>-2187.4</v>
      </c>
      <c r="E122" s="163">
        <v>0</v>
      </c>
      <c r="F122" s="163">
        <v>-10205.299999999999</v>
      </c>
      <c r="G122" s="163"/>
      <c r="H122" s="168"/>
      <c r="I122" s="163"/>
      <c r="J122" s="168"/>
      <c r="K122" s="163"/>
      <c r="L122" s="168">
        <f>G122</f>
        <v>0</v>
      </c>
      <c r="M122" s="174" t="e">
        <f>L122+#REF!</f>
        <v>#REF!</v>
      </c>
      <c r="N122" s="174">
        <v>-10205.299999999999</v>
      </c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06">
        <v>-10205.299999999999</v>
      </c>
      <c r="AE122" s="106"/>
      <c r="AF122" s="106">
        <v>-1577.5</v>
      </c>
      <c r="AG122" s="106"/>
      <c r="AH122" s="106">
        <f>BL122</f>
        <v>-1577.5</v>
      </c>
      <c r="AI122" s="106">
        <f>AZ122</f>
        <v>-1575</v>
      </c>
      <c r="AJ122" s="106">
        <f>BA122</f>
        <v>1034.9000000000001</v>
      </c>
      <c r="AK122" s="243">
        <f>BB122</f>
        <v>-24</v>
      </c>
      <c r="AL122" s="106">
        <f>BC122</f>
        <v>-11.8</v>
      </c>
      <c r="AM122" s="106">
        <f>BD122</f>
        <v>-1001.6</v>
      </c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>
        <v>-1575</v>
      </c>
      <c r="BA122" s="106">
        <v>1034.9000000000001</v>
      </c>
      <c r="BB122" s="106">
        <v>-24</v>
      </c>
      <c r="BC122" s="106">
        <v>-11.8</v>
      </c>
      <c r="BD122" s="106">
        <v>-1001.6</v>
      </c>
      <c r="BE122" s="106"/>
      <c r="BF122" s="106"/>
      <c r="BG122" s="106"/>
      <c r="BH122" s="106"/>
      <c r="BI122" s="106"/>
      <c r="BJ122" s="106"/>
      <c r="BK122" s="106"/>
      <c r="BL122" s="236">
        <f t="shared" si="85"/>
        <v>-1577.5</v>
      </c>
      <c r="BM122" s="106"/>
      <c r="BN122" s="106"/>
      <c r="BO122" s="106"/>
      <c r="BP122" s="163"/>
      <c r="BQ122" s="267">
        <f t="shared" si="67"/>
        <v>-1577.5</v>
      </c>
      <c r="BR122" s="187">
        <f t="shared" si="81"/>
        <v>100</v>
      </c>
      <c r="BS122" s="267">
        <f t="shared" si="68"/>
        <v>0</v>
      </c>
      <c r="BT122" s="266">
        <f t="shared" si="72"/>
        <v>15.457654356069886</v>
      </c>
      <c r="BU122" s="266">
        <f t="shared" si="73"/>
        <v>8627.7999999999993</v>
      </c>
      <c r="BV122" s="266"/>
      <c r="BW122" s="236"/>
      <c r="BX122" s="236"/>
    </row>
    <row r="123" spans="1:76" s="136" customFormat="1" ht="89.25" customHeight="1" outlineLevel="7" x14ac:dyDescent="0.3">
      <c r="A123" s="305"/>
      <c r="B123" s="306" t="s">
        <v>426</v>
      </c>
      <c r="C123" s="307"/>
      <c r="D123" s="173"/>
      <c r="E123" s="132"/>
      <c r="F123" s="132"/>
      <c r="G123" s="132"/>
      <c r="H123" s="308"/>
      <c r="I123" s="132"/>
      <c r="J123" s="308"/>
      <c r="K123" s="132"/>
      <c r="L123" s="308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6"/>
      <c r="AL123" s="174"/>
      <c r="AM123" s="174"/>
      <c r="AN123" s="174"/>
      <c r="AO123" s="174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4"/>
      <c r="BG123" s="174"/>
      <c r="BH123" s="174"/>
      <c r="BI123" s="174">
        <v>-5606.7</v>
      </c>
      <c r="BJ123" s="174">
        <v>5606.7</v>
      </c>
      <c r="BK123" s="106"/>
      <c r="BL123" s="236">
        <f t="shared" si="85"/>
        <v>0</v>
      </c>
      <c r="BM123" s="174">
        <f>BL123</f>
        <v>0</v>
      </c>
      <c r="BN123" s="174">
        <f>BL123</f>
        <v>0</v>
      </c>
      <c r="BO123" s="174">
        <f>BL123</f>
        <v>0</v>
      </c>
      <c r="BP123" s="132"/>
      <c r="BQ123" s="102"/>
      <c r="BR123" s="269"/>
      <c r="BS123" s="269">
        <f>BL123</f>
        <v>0</v>
      </c>
      <c r="BT123" s="266"/>
      <c r="BU123" s="266"/>
      <c r="BV123" s="266"/>
      <c r="BW123" s="236"/>
      <c r="BX123" s="236"/>
    </row>
    <row r="124" spans="1:76" s="136" customFormat="1" ht="17.25" customHeight="1" x14ac:dyDescent="0.25">
      <c r="A124" s="13"/>
      <c r="B124" s="191" t="s">
        <v>292</v>
      </c>
      <c r="C124" s="135"/>
      <c r="D124" s="166" t="e">
        <f t="shared" ref="D124:L124" si="100">D32+D31</f>
        <v>#REF!</v>
      </c>
      <c r="E124" s="166">
        <f t="shared" si="100"/>
        <v>819053.10000000009</v>
      </c>
      <c r="F124" s="166">
        <f t="shared" si="100"/>
        <v>927665.3</v>
      </c>
      <c r="G124" s="166">
        <f t="shared" si="100"/>
        <v>54183.100000000006</v>
      </c>
      <c r="H124" s="166">
        <f t="shared" si="100"/>
        <v>4383.8</v>
      </c>
      <c r="I124" s="166">
        <f t="shared" si="100"/>
        <v>3939.7000000000007</v>
      </c>
      <c r="J124" s="166">
        <f t="shared" si="100"/>
        <v>20265.5</v>
      </c>
      <c r="K124" s="166">
        <f t="shared" si="100"/>
        <v>3803.8999999999996</v>
      </c>
      <c r="L124" s="106">
        <f t="shared" si="100"/>
        <v>86576.1</v>
      </c>
      <c r="M124" s="174" t="e">
        <f>M32+M31-0.1</f>
        <v>#REF!</v>
      </c>
      <c r="N124" s="174">
        <f>N32+N31</f>
        <v>956536.5</v>
      </c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>
        <f>AD31+AD32</f>
        <v>771243.7</v>
      </c>
      <c r="AE124" s="174">
        <f>AE32+AE31</f>
        <v>1437855.0999999999</v>
      </c>
      <c r="AF124" s="174">
        <f>AF32+AF31+0.1</f>
        <v>1516379.5</v>
      </c>
      <c r="AG124" s="174">
        <f t="shared" ref="AG124:BL124" si="101">AG32+AG31</f>
        <v>207632.80000000002</v>
      </c>
      <c r="AH124" s="174">
        <f t="shared" si="101"/>
        <v>1428414.1</v>
      </c>
      <c r="AI124" s="174">
        <f t="shared" si="101"/>
        <v>38285.100000000006</v>
      </c>
      <c r="AJ124" s="174">
        <f t="shared" si="101"/>
        <v>78186.899999999994</v>
      </c>
      <c r="AK124" s="174">
        <f t="shared" si="101"/>
        <v>302033.10000000003</v>
      </c>
      <c r="AL124" s="174">
        <f t="shared" si="101"/>
        <v>86762.9</v>
      </c>
      <c r="AM124" s="174">
        <f t="shared" si="101"/>
        <v>79904</v>
      </c>
      <c r="AN124" s="174">
        <f t="shared" si="101"/>
        <v>82533.3</v>
      </c>
      <c r="AO124" s="174">
        <f t="shared" si="101"/>
        <v>81384.2</v>
      </c>
      <c r="AP124" s="174">
        <f t="shared" si="101"/>
        <v>167492.99999999997</v>
      </c>
      <c r="AQ124" s="174">
        <f t="shared" si="101"/>
        <v>121099.99999999997</v>
      </c>
      <c r="AR124" s="174">
        <f t="shared" si="101"/>
        <v>120290.6</v>
      </c>
      <c r="AS124" s="174">
        <f t="shared" si="101"/>
        <v>131524.29999999999</v>
      </c>
      <c r="AT124" s="174">
        <f t="shared" si="101"/>
        <v>66150.399999999994</v>
      </c>
      <c r="AU124" s="174">
        <f t="shared" si="101"/>
        <v>0</v>
      </c>
      <c r="AV124" s="174">
        <f t="shared" si="101"/>
        <v>0</v>
      </c>
      <c r="AW124" s="174">
        <f t="shared" si="101"/>
        <v>0</v>
      </c>
      <c r="AX124" s="174">
        <f t="shared" si="101"/>
        <v>0</v>
      </c>
      <c r="AY124" s="174">
        <f t="shared" si="101"/>
        <v>-4742.4000000000005</v>
      </c>
      <c r="AZ124" s="174">
        <f t="shared" si="101"/>
        <v>45562.700000000012</v>
      </c>
      <c r="BA124" s="174">
        <f t="shared" si="101"/>
        <v>59135.199999999997</v>
      </c>
      <c r="BB124" s="174">
        <f t="shared" si="101"/>
        <v>313188.50000000006</v>
      </c>
      <c r="BC124" s="174">
        <f t="shared" si="101"/>
        <v>99865.799999999988</v>
      </c>
      <c r="BD124" s="174">
        <f t="shared" si="101"/>
        <v>78194.200000000012</v>
      </c>
      <c r="BE124" s="174">
        <f t="shared" si="101"/>
        <v>81725.2</v>
      </c>
      <c r="BF124" s="174">
        <f t="shared" si="101"/>
        <v>89614.700000000012</v>
      </c>
      <c r="BG124" s="174">
        <f t="shared" si="101"/>
        <v>165586.89999999997</v>
      </c>
      <c r="BH124" s="174">
        <f t="shared" si="101"/>
        <v>122365.59999999998</v>
      </c>
      <c r="BI124" s="174">
        <f t="shared" si="101"/>
        <v>106432.90000000001</v>
      </c>
      <c r="BJ124" s="174">
        <f t="shared" si="101"/>
        <v>134464.49999999997</v>
      </c>
      <c r="BK124" s="174">
        <f>BK32+BK31</f>
        <v>184889.30000000002</v>
      </c>
      <c r="BL124" s="174">
        <f t="shared" si="101"/>
        <v>1481025.5</v>
      </c>
      <c r="BM124" s="183">
        <f>BM31+BM32</f>
        <v>-2666.5000000000014</v>
      </c>
      <c r="BN124" s="183">
        <f t="shared" ref="BN124:BS124" si="102">BN31+BN32</f>
        <v>66050.900000000009</v>
      </c>
      <c r="BO124" s="183">
        <f t="shared" si="102"/>
        <v>52611.4</v>
      </c>
      <c r="BP124" s="183">
        <f t="shared" si="102"/>
        <v>200.21477798535705</v>
      </c>
      <c r="BQ124" s="183">
        <f t="shared" si="102"/>
        <v>43170.399999999965</v>
      </c>
      <c r="BR124" s="183">
        <f t="shared" si="102"/>
        <v>197.2328837584061</v>
      </c>
      <c r="BS124" s="183">
        <f t="shared" si="102"/>
        <v>-35353.899999999965</v>
      </c>
      <c r="BT124" s="266">
        <f t="shared" si="72"/>
        <v>192.03080686428947</v>
      </c>
      <c r="BU124" s="266">
        <f t="shared" si="73"/>
        <v>709781.8</v>
      </c>
      <c r="BV124" s="266"/>
      <c r="BW124" s="174"/>
      <c r="BX124" s="174"/>
    </row>
    <row r="125" spans="1:76" s="136" customFormat="1" ht="12.75" customHeight="1" x14ac:dyDescent="0.2">
      <c r="A125" s="13"/>
      <c r="F125" s="65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>
        <v>1437855.1</v>
      </c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L125" s="19"/>
      <c r="BM125" s="72"/>
      <c r="BN125" s="72"/>
      <c r="BR125" s="65"/>
      <c r="BT125" s="65"/>
      <c r="BW125" s="19"/>
      <c r="BX125" s="19"/>
    </row>
    <row r="126" spans="1:76" s="136" customFormat="1" ht="12.75" customHeight="1" x14ac:dyDescent="0.2">
      <c r="A126" s="13"/>
      <c r="L126" s="65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  <c r="BC126" s="216"/>
      <c r="BD126" s="216"/>
      <c r="BE126" s="216"/>
      <c r="BF126" s="216"/>
      <c r="BG126" s="216"/>
      <c r="BH126" s="216"/>
      <c r="BI126" s="216"/>
      <c r="BJ126" s="216"/>
      <c r="BK126" s="19"/>
      <c r="BL126" s="216"/>
      <c r="BM126" s="65"/>
      <c r="BN126" s="65"/>
      <c r="BO126" s="65"/>
      <c r="BP126" s="72"/>
      <c r="BQ126" s="72"/>
      <c r="BS126" s="72"/>
      <c r="BU126" s="72"/>
      <c r="BV126" s="72"/>
      <c r="BW126" s="216"/>
      <c r="BX126" s="216"/>
    </row>
    <row r="127" spans="1:76" s="136" customFormat="1" ht="12.75" customHeight="1" x14ac:dyDescent="0.2">
      <c r="A127" s="13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  <c r="BI127" s="204"/>
      <c r="BJ127" s="204"/>
      <c r="BK127" s="216"/>
      <c r="BL127" s="204"/>
      <c r="BM127" s="72"/>
      <c r="BN127" s="72"/>
      <c r="BO127" s="72"/>
      <c r="BW127" s="204"/>
      <c r="BX127" s="204"/>
    </row>
    <row r="128" spans="1:76" s="136" customFormat="1" ht="12.75" customHeight="1" x14ac:dyDescent="0.2">
      <c r="A128" s="13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204"/>
      <c r="BL128" s="19"/>
      <c r="BR128" s="65"/>
      <c r="BT128" s="65"/>
      <c r="BW128" s="19"/>
      <c r="BX128" s="19"/>
    </row>
    <row r="129" spans="1:76" s="136" customFormat="1" ht="12.75" customHeight="1" x14ac:dyDescent="0.2">
      <c r="A129" s="13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W129" s="19"/>
      <c r="BX129" s="19"/>
    </row>
    <row r="130" spans="1:76" s="136" customFormat="1" ht="12.75" customHeight="1" x14ac:dyDescent="0.2">
      <c r="A130" s="13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204"/>
      <c r="BW130" s="204"/>
      <c r="BX130" s="204"/>
    </row>
    <row r="131" spans="1:76" s="136" customFormat="1" ht="12.75" customHeight="1" x14ac:dyDescent="0.2">
      <c r="A131" s="13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65"/>
      <c r="BN131" s="65"/>
      <c r="BO131" s="65"/>
      <c r="BW131" s="19"/>
      <c r="BX131" s="19"/>
    </row>
    <row r="132" spans="1:76" ht="12.75" customHeight="1" x14ac:dyDescent="0.2">
      <c r="BK132" s="19"/>
      <c r="BL132" s="104"/>
      <c r="BW132" s="104"/>
      <c r="BX132" s="104"/>
    </row>
  </sheetData>
  <mergeCells count="1">
    <mergeCell ref="B1:BL1"/>
  </mergeCells>
  <pageMargins left="0.74803149606299213" right="0.11811023622047245" top="0.11811023622047245" bottom="0.11811023622047245" header="0.51181102362204722" footer="0.51181102362204722"/>
  <pageSetup paperSize="9" scale="70" fitToHeight="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Лист2</vt:lpstr>
      <vt:lpstr>КП2026</vt:lpstr>
      <vt:lpstr>МАРТ</vt:lpstr>
      <vt:lpstr>февраль</vt:lpstr>
      <vt:lpstr>январь</vt:lpstr>
      <vt:lpstr>2025</vt:lpstr>
      <vt:lpstr>ндфл</vt:lpstr>
      <vt:lpstr>2024</vt:lpstr>
      <vt:lpstr>2023</vt:lpstr>
      <vt:lpstr>2022</vt:lpstr>
      <vt:lpstr>КП</vt:lpstr>
      <vt:lpstr>консол бюджет все</vt:lpstr>
      <vt:lpstr>Лист1</vt:lpstr>
      <vt:lpstr>к решению24</vt:lpstr>
      <vt:lpstr>ожидаемое 2025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Наумова</dc:creator>
  <dc:description>POI HSSF rep:2.52.0.192</dc:description>
  <cp:lastModifiedBy>Наумова МП</cp:lastModifiedBy>
  <cp:lastPrinted>2026-03-20T11:54:22Z</cp:lastPrinted>
  <dcterms:created xsi:type="dcterms:W3CDTF">2021-01-15T06:13:33Z</dcterms:created>
  <dcterms:modified xsi:type="dcterms:W3CDTF">2026-03-23T08:51:40Z</dcterms:modified>
</cp:coreProperties>
</file>